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filterPrivacy="1" defaultThemeVersion="124226"/>
  <xr:revisionPtr revIDLastSave="16" documentId="13_ncr:1_{78AB9B3C-9876-4B75-9E6B-E8956F47FC5D}" xr6:coauthVersionLast="47" xr6:coauthVersionMax="47" xr10:uidLastSave="{3D391418-7F7B-4300-A157-4F40E6D86CA6}"/>
  <workbookProtection workbookAlgorithmName="SHA-512" workbookHashValue="04oDX1lh+R38ZgQCF2HRP+fDp6j6A2yA71yaCAbMNbPhr1UPNRFRVDVAim2/EvEBNVuSmrF8tFS206eRWVYuLQ==" workbookSaltValue="wA9QrcfQJWMgrUTz32xbeA==" workbookSpinCount="100000" lockStructure="1"/>
  <bookViews>
    <workbookView xWindow="-120" yWindow="-16320" windowWidth="29040" windowHeight="15720" tabRatio="732" xr2:uid="{00000000-000D-0000-FFFF-FFFF00000000}"/>
  </bookViews>
  <sheets>
    <sheet name="付替お申込書" sheetId="1" r:id="rId1"/>
    <sheet name="変更別紙" sheetId="8" r:id="rId2"/>
    <sheet name="【記載例】付替お申込書" sheetId="9" r:id="rId3"/>
    <sheet name="【記載例】変更別紙" sheetId="10" r:id="rId4"/>
    <sheet name="table（隠す）変更" sheetId="2" state="hidden" r:id="rId5"/>
    <sheet name="選択肢（隠す）変更" sheetId="7" state="hidden" r:id="rId6"/>
  </sheets>
  <definedNames>
    <definedName name="accelikkatsu001">変更別紙!$J$13</definedName>
    <definedName name="accelikkatsu002">変更別紙!$J$14</definedName>
    <definedName name="accelikkatsu003">変更別紙!$J$15</definedName>
    <definedName name="accelikkatsu004">変更別紙!$J$16</definedName>
    <definedName name="accelikkatsu005">変更別紙!$J$17</definedName>
    <definedName name="accelikkatsu006">変更別紙!$J$18</definedName>
    <definedName name="accelikkatsu007">変更別紙!$J$19</definedName>
    <definedName name="accelikkatsu008">変更別紙!$J$20</definedName>
    <definedName name="accelikkatsu009">変更別紙!$J$21</definedName>
    <definedName name="accelikkatsu010">変更別紙!$J$22</definedName>
    <definedName name="accelikkatsu011">変更別紙!$J$23</definedName>
    <definedName name="accelikkatsu012">変更別紙!$J$24</definedName>
    <definedName name="accelikkatsu013">変更別紙!$J$25</definedName>
    <definedName name="accelikkatsu014">変更別紙!$J$26</definedName>
    <definedName name="accelikkatsu015">変更別紙!$J$27</definedName>
    <definedName name="accelikkatsu016">変更別紙!$J$28</definedName>
    <definedName name="accelikkatsu017">変更別紙!$J$29</definedName>
    <definedName name="accelikkatsu018">変更別紙!$J$30</definedName>
    <definedName name="accelikkatsu019">変更別紙!$J$31</definedName>
    <definedName name="accelikkatsu020">変更別紙!$J$32</definedName>
    <definedName name="accelikkatsu021">変更別紙!$J$33</definedName>
    <definedName name="accelikkatsu022">変更別紙!$J$34</definedName>
    <definedName name="accelikkatsu023">変更別紙!$J$35</definedName>
    <definedName name="accelikkatsu024">変更別紙!$J$36</definedName>
    <definedName name="accelikkatsu025">変更別紙!$J$37</definedName>
    <definedName name="accelikkatsu026">変更別紙!$J$38</definedName>
    <definedName name="accelikkatsu027">変更別紙!$J$39</definedName>
    <definedName name="accelikkatsu028">変更別紙!$J$40</definedName>
    <definedName name="accelikkatsu029">変更別紙!$J$41</definedName>
    <definedName name="accelikkatsu030">変更別紙!$J$42</definedName>
    <definedName name="accelikkatsu031">変更別紙!$J$43</definedName>
    <definedName name="accelikkatsu032">変更別紙!$J$44</definedName>
    <definedName name="accelikkatsu033">変更別紙!$J$45</definedName>
    <definedName name="accelikkatsu034">変更別紙!$J$46</definedName>
    <definedName name="accelikkatsu035">変更別紙!$J$47</definedName>
    <definedName name="accelikkatsu036">変更別紙!$J$48</definedName>
    <definedName name="accelikkatsu037">変更別紙!$J$49</definedName>
    <definedName name="accelikkatsu038">変更別紙!$J$50</definedName>
    <definedName name="accelikkatsu039">変更別紙!$J$51</definedName>
    <definedName name="accelikkatsu040">変更別紙!$J$52</definedName>
    <definedName name="accelikkatsu041">変更別紙!$J$53</definedName>
    <definedName name="accelikkatsu042">変更別紙!$J$54</definedName>
    <definedName name="accelikkatsu043">変更別紙!$J$55</definedName>
    <definedName name="accelikkatsu044">変更別紙!$J$56</definedName>
    <definedName name="accelikkatsu045">変更別紙!$J$57</definedName>
    <definedName name="accelikkatsu046">変更別紙!$J$58</definedName>
    <definedName name="accelikkatsu047">変更別紙!$J$59</definedName>
    <definedName name="accelikkatsu048">変更別紙!$J$60</definedName>
    <definedName name="accelikkatsu049">変更別紙!$J$61</definedName>
    <definedName name="accelikkatsu050">変更別紙!$J$62</definedName>
    <definedName name="accelikkatsu051">変更別紙!$J$63</definedName>
    <definedName name="accelikkatsu052">変更別紙!$J$64</definedName>
    <definedName name="accelikkatsu053">変更別紙!$J$65</definedName>
    <definedName name="accelikkatsu054">変更別紙!$J$66</definedName>
    <definedName name="accelikkatsu055">変更別紙!$J$67</definedName>
    <definedName name="accelikkatsu056">変更別紙!$J$68</definedName>
    <definedName name="accelikkatsu057">変更別紙!$J$69</definedName>
    <definedName name="accelikkatsu058">変更別紙!$J$70</definedName>
    <definedName name="accelikkatsu059">変更別紙!$J$71</definedName>
    <definedName name="accelikkatsu060">変更別紙!$J$72</definedName>
    <definedName name="accelikkatsu061">変更別紙!$J$73</definedName>
    <definedName name="accelikkatsu062">変更別紙!$J$74</definedName>
    <definedName name="accelikkatsu063">変更別紙!$J$75</definedName>
    <definedName name="accelikkatsu064">変更別紙!$J$76</definedName>
    <definedName name="accelikkatsu065">変更別紙!$J$77</definedName>
    <definedName name="accelikkatsu066">変更別紙!$J$78</definedName>
    <definedName name="accelikkatsu067">変更別紙!$J$79</definedName>
    <definedName name="accelikkatsu068">変更別紙!$J$80</definedName>
    <definedName name="accelikkatsu069">変更別紙!$J$81</definedName>
    <definedName name="accelikkatsu070">変更別紙!$J$82</definedName>
    <definedName name="accelikkatsu071">変更別紙!$J$83</definedName>
    <definedName name="accelikkatsu072">変更別紙!$J$84</definedName>
    <definedName name="accelikkatsu073">変更別紙!$J$85</definedName>
    <definedName name="accelikkatsu074">変更別紙!$J$86</definedName>
    <definedName name="accelikkatsu075">変更別紙!$J$87</definedName>
    <definedName name="accelikkatsu076">変更別紙!$J$88</definedName>
    <definedName name="accelikkatsu077">変更別紙!$J$89</definedName>
    <definedName name="accelikkatsu078">変更別紙!$J$90</definedName>
    <definedName name="accelikkatsu079">変更別紙!$J$91</definedName>
    <definedName name="accelikkatsu080">変更別紙!$J$92</definedName>
    <definedName name="accelikkatsu081">変更別紙!$J$93</definedName>
    <definedName name="accelikkatsu082">変更別紙!$J$94</definedName>
    <definedName name="accelikkatsu083">変更別紙!$J$95</definedName>
    <definedName name="accelikkatsu084">変更別紙!$J$96</definedName>
    <definedName name="accelikkatsu085">変更別紙!$J$97</definedName>
    <definedName name="accelikkatsu086">変更別紙!$J$98</definedName>
    <definedName name="accelikkatsu087">変更別紙!$J$99</definedName>
    <definedName name="accelikkatsu088">変更別紙!$J$100</definedName>
    <definedName name="accelikkatsu089">変更別紙!$J$101</definedName>
    <definedName name="accelikkatsu090">変更別紙!$J$102</definedName>
    <definedName name="accelikkatsu091">変更別紙!$J$103</definedName>
    <definedName name="accelikkatsu092">変更別紙!$J$104</definedName>
    <definedName name="accelikkatsu093">変更別紙!$J$105</definedName>
    <definedName name="accelikkatsu094">変更別紙!$J$106</definedName>
    <definedName name="accelikkatsu095">変更別紙!$J$107</definedName>
    <definedName name="accelikkatsu096">変更別紙!$J$108</definedName>
    <definedName name="accelikkatsu097">変更別紙!$J$109</definedName>
    <definedName name="accelikkatsu098">変更別紙!$J$110</definedName>
    <definedName name="accelikkatsu099">変更別紙!$J$111</definedName>
    <definedName name="accelikkatsu100">変更別紙!$J$112</definedName>
    <definedName name="accelikkatsu101">変更別紙!$J$113</definedName>
    <definedName name="accelikkatsu102">変更別紙!$J$114</definedName>
    <definedName name="accelikkatsu103">変更別紙!$J$115</definedName>
    <definedName name="accelikkatsu104">変更別紙!$J$116</definedName>
    <definedName name="accelikkatsu105">変更別紙!$J$117</definedName>
    <definedName name="accelikkatsu106">変更別紙!$J$118</definedName>
    <definedName name="accelikkatsu107">変更別紙!$J$119</definedName>
    <definedName name="accelikkatsu108">変更別紙!$J$120</definedName>
    <definedName name="accelikkatsu109">変更別紙!$J$121</definedName>
    <definedName name="accelikkatsu110">変更別紙!$J$122</definedName>
    <definedName name="accelikkatsu111">変更別紙!$J$123</definedName>
    <definedName name="accelikkatsu112">変更別紙!$J$124</definedName>
    <definedName name="accelikkatsu113">変更別紙!$J$125</definedName>
    <definedName name="accelikkatsu114">変更別紙!$J$126</definedName>
    <definedName name="accelikkatsu115">変更別紙!$J$127</definedName>
    <definedName name="accelikkatsu116">変更別紙!$J$128</definedName>
    <definedName name="accelikkatsu117">変更別紙!$J$129</definedName>
    <definedName name="accelikkatsu118">変更別紙!$J$130</definedName>
    <definedName name="accelikkatsu119">変更別紙!$J$131</definedName>
    <definedName name="accelikkatsu120">変更別紙!$J$132</definedName>
    <definedName name="accelikkatsu121">変更別紙!$J$133</definedName>
    <definedName name="accelikkatsu122">変更別紙!$J$134</definedName>
    <definedName name="accelikkatsu123">変更別紙!$J$135</definedName>
    <definedName name="accelikkatsu124">変更別紙!$J$136</definedName>
    <definedName name="accelikkatsu125">変更別紙!$J$137</definedName>
    <definedName name="accelikkatsu126">変更別紙!$J$138</definedName>
    <definedName name="accelikkatsu127">変更別紙!$J$139</definedName>
    <definedName name="accelikkatsu128">変更別紙!$J$140</definedName>
    <definedName name="accelikkatsu129">変更別紙!$J$141</definedName>
    <definedName name="accelikkatsu130">変更別紙!$J$142</definedName>
    <definedName name="accelikkatsu131">変更別紙!$J$143</definedName>
    <definedName name="accelikkatsu132">変更別紙!$J$144</definedName>
    <definedName name="accelikkatsu133">変更別紙!$J$145</definedName>
    <definedName name="accelikkatsu134">変更別紙!$J$146</definedName>
    <definedName name="accelikkatsu135">変更別紙!$J$147</definedName>
    <definedName name="accelikkatsu136">変更別紙!$J$148</definedName>
    <definedName name="accelikkatsu137">変更別紙!$J$149</definedName>
    <definedName name="accelikkatsu138">変更別紙!$J$150</definedName>
    <definedName name="accelikkatsu139">変更別紙!$J$151</definedName>
    <definedName name="accelikkatsu140">変更別紙!$J$152</definedName>
    <definedName name="accelikkatsu141">変更別紙!$J$153</definedName>
    <definedName name="accelikkatsu142">変更別紙!$J$154</definedName>
    <definedName name="accelikkatsu143">変更別紙!$J$155</definedName>
    <definedName name="accelikkatsu144">変更別紙!$J$156</definedName>
    <definedName name="accelikkatsu145">変更別紙!$J$157</definedName>
    <definedName name="accelikkatsu146">変更別紙!$J$158</definedName>
    <definedName name="accelikkatsu147">変更別紙!$J$159</definedName>
    <definedName name="accelikkatsu148">変更別紙!$J$160</definedName>
    <definedName name="accelikkatsu149">変更別紙!$J$161</definedName>
    <definedName name="accelikkatsu150">変更別紙!$J$162</definedName>
    <definedName name="accelikkatsu151">変更別紙!$J$163</definedName>
    <definedName name="accelikkatsu152">変更別紙!$J$164</definedName>
    <definedName name="accelikkatsu153">変更別紙!$J$165</definedName>
    <definedName name="accelikkatsu154">変更別紙!$J$166</definedName>
    <definedName name="accelikkatsu155">変更別紙!$J$167</definedName>
    <definedName name="accelikkatsu156">変更別紙!$J$168</definedName>
    <definedName name="accelikkatsu157">変更別紙!$J$169</definedName>
    <definedName name="accelikkatsu158">変更別紙!$J$170</definedName>
    <definedName name="accelikkatsu159">変更別紙!$J$171</definedName>
    <definedName name="accelikkatsu160">変更別紙!$J$172</definedName>
    <definedName name="accelikkatsu161">変更別紙!$J$173</definedName>
    <definedName name="accelikkatsu162">変更別紙!$J$174</definedName>
    <definedName name="accelikkatsu163">変更別紙!$J$175</definedName>
    <definedName name="accelikkatsu164">変更別紙!$J$176</definedName>
    <definedName name="accelikkatsu165">変更別紙!$J$177</definedName>
    <definedName name="accelikkatsu166">変更別紙!$J$178</definedName>
    <definedName name="accelikkatsu167">変更別紙!$J$179</definedName>
    <definedName name="accelikkatsu168">変更別紙!$J$180</definedName>
    <definedName name="accelikkatsu169">変更別紙!$J$181</definedName>
    <definedName name="accelikkatsu170">変更別紙!$J$182</definedName>
    <definedName name="accelikkatsu171">変更別紙!$J$183</definedName>
    <definedName name="accelikkatsu172">変更別紙!$J$184</definedName>
    <definedName name="accelikkatsu173">変更別紙!$J$185</definedName>
    <definedName name="accelikkatsu174">変更別紙!$J$186</definedName>
    <definedName name="accelikkatsu175">変更別紙!$J$187</definedName>
    <definedName name="accelikkatsu176">変更別紙!$J$188</definedName>
    <definedName name="accelikkatsu177">変更別紙!$J$189</definedName>
    <definedName name="accelikkatsu178">変更別紙!$J$190</definedName>
    <definedName name="accelikkatsu179">変更別紙!$J$191</definedName>
    <definedName name="accelikkatsu180">変更別紙!$J$192</definedName>
    <definedName name="accelikkatsu181">変更別紙!$J$193</definedName>
    <definedName name="accelikkatsu182">変更別紙!$J$194</definedName>
    <definedName name="accelikkatsu183">変更別紙!$J$195</definedName>
    <definedName name="accelikkatsu184">変更別紙!$J$196</definedName>
    <definedName name="accelikkatsu185">変更別紙!$J$197</definedName>
    <definedName name="accelikkatsu186">変更別紙!$J$198</definedName>
    <definedName name="accelikkatsu187">変更別紙!$J$199</definedName>
    <definedName name="accelikkatsu188">変更別紙!$J$200</definedName>
    <definedName name="accelikkatsu189">変更別紙!$J$201</definedName>
    <definedName name="accelikkatsu190">変更別紙!$J$202</definedName>
    <definedName name="accelikkatsu191">変更別紙!$J$203</definedName>
    <definedName name="accelikkatsu192">変更別紙!$J$204</definedName>
    <definedName name="accelikkatsu193">変更別紙!$J$205</definedName>
    <definedName name="accelikkatsu194">変更別紙!$J$206</definedName>
    <definedName name="accelikkatsu195">変更別紙!$J$207</definedName>
    <definedName name="accelikkatsu196">変更別紙!$J$208</definedName>
    <definedName name="accelikkatsu197">変更別紙!$J$209</definedName>
    <definedName name="accelikkatsu198">変更別紙!$J$210</definedName>
    <definedName name="accelikkatsu199">変更別紙!$J$211</definedName>
    <definedName name="accelikkatsu200">変更別紙!$J$212</definedName>
    <definedName name="accelikkatsu201">変更別紙!$J$213</definedName>
    <definedName name="accelikkatsu202">変更別紙!$J$214</definedName>
    <definedName name="accelikkatsu203">変更別紙!$J$215</definedName>
    <definedName name="accelikkatsu204">変更別紙!$J$216</definedName>
    <definedName name="accelikkatsu205">変更別紙!$J$217</definedName>
    <definedName name="accelikkatsu206">変更別紙!$J$218</definedName>
    <definedName name="accelikkatsu207">変更別紙!$J$219</definedName>
    <definedName name="accelikkatsu208">変更別紙!$J$220</definedName>
    <definedName name="accelikkatsu209">変更別紙!$J$221</definedName>
    <definedName name="accelikkatsu210">変更別紙!$J$222</definedName>
    <definedName name="accelikkatsu211">変更別紙!$J$223</definedName>
    <definedName name="accelikkatsu212">変更別紙!$J$224</definedName>
    <definedName name="accelikkatsu213">変更別紙!$J$225</definedName>
    <definedName name="accelikkatsu214">変更別紙!$J$226</definedName>
    <definedName name="accelikkatsu215">変更別紙!$J$227</definedName>
    <definedName name="accelikkatsu216">変更別紙!$J$228</definedName>
    <definedName name="accelikkatsu217">変更別紙!$J$229</definedName>
    <definedName name="accelikkatsu218">変更別紙!$J$230</definedName>
    <definedName name="accelikkatsu219">変更別紙!$J$231</definedName>
    <definedName name="accelikkatsu220">変更別紙!$J$232</definedName>
    <definedName name="accelikkatsu221">変更別紙!$J$233</definedName>
    <definedName name="accelikkatsu222">変更別紙!$J$234</definedName>
    <definedName name="accelikkatsu223">変更別紙!$J$235</definedName>
    <definedName name="accelikkatsu224">変更別紙!$J$236</definedName>
    <definedName name="accelikkatsu225">変更別紙!$J$237</definedName>
    <definedName name="accelikkatsu226">変更別紙!$J$238</definedName>
    <definedName name="accelikkatsu227">変更別紙!$J$239</definedName>
    <definedName name="accelikkatsu228">変更別紙!$J$240</definedName>
    <definedName name="accelikkatsu229">変更別紙!$J$241</definedName>
    <definedName name="accelikkatsu230">変更別紙!$J$242</definedName>
    <definedName name="accelikkatsu231">変更別紙!$J$243</definedName>
    <definedName name="accelikkatsu232">変更別紙!$J$244</definedName>
    <definedName name="accelikkatsu233">変更別紙!$J$245</definedName>
    <definedName name="accelikkatsu234">変更別紙!$J$246</definedName>
    <definedName name="accelikkatsu235">変更別紙!$J$247</definedName>
    <definedName name="accelikkatsu236">変更別紙!$J$248</definedName>
    <definedName name="accelikkatsu237">変更別紙!$J$249</definedName>
    <definedName name="accelikkatsu238">変更別紙!$J$250</definedName>
    <definedName name="accelikkatsu239">変更別紙!$J$251</definedName>
    <definedName name="accelikkatsu240">変更別紙!$J$252</definedName>
    <definedName name="accelikkatsu241">変更別紙!$J$253</definedName>
    <definedName name="accelikkatsu242">変更別紙!$J$254</definedName>
    <definedName name="accelikkatsu243">変更別紙!$J$255</definedName>
    <definedName name="accelikkatsu244">変更別紙!$J$256</definedName>
    <definedName name="accelikkatsu245">変更別紙!$J$257</definedName>
    <definedName name="accelikkatsu246">変更別紙!$J$258</definedName>
    <definedName name="accelikkatsu247">変更別紙!$J$259</definedName>
    <definedName name="accelikkatsu248">変更別紙!$J$260</definedName>
    <definedName name="accelikkatsu249">変更別紙!$J$261</definedName>
    <definedName name="accelikkatsu250">変更別紙!$J$262</definedName>
    <definedName name="accelikkatsu251">変更別紙!#REF!</definedName>
    <definedName name="accelikkatsu252">変更別紙!#REF!</definedName>
    <definedName name="accelikkatsu253">変更別紙!#REF!</definedName>
    <definedName name="accelikkatsu254">変更別紙!#REF!</definedName>
    <definedName name="accelikkatsu255">変更別紙!#REF!</definedName>
    <definedName name="accelikkatsu256">変更別紙!#REF!</definedName>
    <definedName name="accelikkatsu257">変更別紙!#REF!</definedName>
    <definedName name="accelikkatsu258">変更別紙!#REF!</definedName>
    <definedName name="accelikkatsu259">変更別紙!#REF!</definedName>
    <definedName name="accelikkatsu260">変更別紙!#REF!</definedName>
    <definedName name="accelikkatsu261">変更別紙!#REF!</definedName>
    <definedName name="accelikkatsu262">変更別紙!#REF!</definedName>
    <definedName name="accelikkatsu263">変更別紙!#REF!</definedName>
    <definedName name="accelikkatsu264">変更別紙!#REF!</definedName>
    <definedName name="accelikkatsu265">変更別紙!#REF!</definedName>
    <definedName name="accelikkatsu266">変更別紙!#REF!</definedName>
    <definedName name="accelikkatsu267">変更別紙!#REF!</definedName>
    <definedName name="accelikkatsu268">変更別紙!#REF!</definedName>
    <definedName name="accelikkatsu269">変更別紙!#REF!</definedName>
    <definedName name="accelikkatsu270">変更別紙!#REF!</definedName>
    <definedName name="accelikkatsu271">変更別紙!#REF!</definedName>
    <definedName name="accelikkatsu272">変更別紙!#REF!</definedName>
    <definedName name="accelikkatsu273">変更別紙!#REF!</definedName>
    <definedName name="accelikkatsu274">変更別紙!#REF!</definedName>
    <definedName name="accelikkatsu275">変更別紙!#REF!</definedName>
    <definedName name="accelikkatsu276">変更別紙!#REF!</definedName>
    <definedName name="accelikkatsu277">変更別紙!#REF!</definedName>
    <definedName name="accelikkatsu278">変更別紙!#REF!</definedName>
    <definedName name="accelikkatsu279">変更別紙!#REF!</definedName>
    <definedName name="accelikkatsu280">変更別紙!#REF!</definedName>
    <definedName name="accelikkatsu281">変更別紙!#REF!</definedName>
    <definedName name="accelikkatsu282">変更別紙!#REF!</definedName>
    <definedName name="accelikkatsu283">変更別紙!#REF!</definedName>
    <definedName name="accelikkatsu284">変更別紙!#REF!</definedName>
    <definedName name="accelikkatsu285">変更別紙!#REF!</definedName>
    <definedName name="accelikkatsu286">変更別紙!#REF!</definedName>
    <definedName name="accelikkatsu287">変更別紙!#REF!</definedName>
    <definedName name="accelikkatsu288">変更別紙!#REF!</definedName>
    <definedName name="accelikkatsu289">変更別紙!#REF!</definedName>
    <definedName name="accelikkatsu290">変更別紙!#REF!</definedName>
    <definedName name="accelikkatsu291">変更別紙!#REF!</definedName>
    <definedName name="accelikkatsu292">変更別紙!#REF!</definedName>
    <definedName name="accelikkatsu293">変更別紙!#REF!</definedName>
    <definedName name="accelikkatsu294">変更別紙!#REF!</definedName>
    <definedName name="accelikkatsu295">変更別紙!#REF!</definedName>
    <definedName name="accelikkatsu296">変更別紙!#REF!</definedName>
    <definedName name="accelikkatsu297">変更別紙!#REF!</definedName>
    <definedName name="accelikkatsu298">変更別紙!#REF!</definedName>
    <definedName name="accelikkatsu299">変更別紙!#REF!</definedName>
    <definedName name="accelikkatsu300">変更別紙!#REF!</definedName>
    <definedName name="accelikkatsu301">変更別紙!#REF!</definedName>
    <definedName name="accelikkatsu302">変更別紙!#REF!</definedName>
    <definedName name="accelikkatsu303">変更別紙!#REF!</definedName>
    <definedName name="accelikkatsu304">変更別紙!#REF!</definedName>
    <definedName name="accelikkatsu305">変更別紙!#REF!</definedName>
    <definedName name="accelikkatsu306">変更別紙!#REF!</definedName>
    <definedName name="accelikkatsu307">変更別紙!#REF!</definedName>
    <definedName name="accelikkatsu308">変更別紙!#REF!</definedName>
    <definedName name="accelikkatsu309">変更別紙!#REF!</definedName>
    <definedName name="accelikkatsu310">変更別紙!#REF!</definedName>
    <definedName name="accelikkatsu311">変更別紙!#REF!</definedName>
    <definedName name="accelikkatsu312">変更別紙!#REF!</definedName>
    <definedName name="accelikkatsu313">変更別紙!#REF!</definedName>
    <definedName name="accelikkatsu314">変更別紙!#REF!</definedName>
    <definedName name="accelikkatsu315">変更別紙!#REF!</definedName>
    <definedName name="accelikkatsu316">変更別紙!#REF!</definedName>
    <definedName name="accelikkatsu317">変更別紙!#REF!</definedName>
    <definedName name="accelikkatsu318">変更別紙!#REF!</definedName>
    <definedName name="accelikkatsu319">変更別紙!#REF!</definedName>
    <definedName name="accelikkatsu320">変更別紙!#REF!</definedName>
    <definedName name="accelikkatsu321">変更別紙!#REF!</definedName>
    <definedName name="accelikkatsu322">変更別紙!#REF!</definedName>
    <definedName name="accelikkatsu323">変更別紙!#REF!</definedName>
    <definedName name="accelikkatsu324">変更別紙!#REF!</definedName>
    <definedName name="accelikkatsu325">変更別紙!#REF!</definedName>
    <definedName name="accelikkatsu326">変更別紙!#REF!</definedName>
    <definedName name="accelikkatsu327">変更別紙!#REF!</definedName>
    <definedName name="accelikkatsu328">変更別紙!#REF!</definedName>
    <definedName name="accelikkatsu329">変更別紙!#REF!</definedName>
    <definedName name="accelikkatsu330">変更別紙!#REF!</definedName>
    <definedName name="accelikkatsu331">変更別紙!#REF!</definedName>
    <definedName name="accelikkatsu332">変更別紙!#REF!</definedName>
    <definedName name="accelikkatsu333">変更別紙!#REF!</definedName>
    <definedName name="accelikkatsu334">変更別紙!#REF!</definedName>
    <definedName name="accelikkatsu335">変更別紙!#REF!</definedName>
    <definedName name="accelikkatsu336">変更別紙!#REF!</definedName>
    <definedName name="accelikkatsu337">変更別紙!#REF!</definedName>
    <definedName name="accelikkatsu338">変更別紙!#REF!</definedName>
    <definedName name="accelikkatsu339">変更別紙!#REF!</definedName>
    <definedName name="accelikkatsu340">変更別紙!#REF!</definedName>
    <definedName name="accelikkatsu341">変更別紙!#REF!</definedName>
    <definedName name="accelikkatsu342">変更別紙!#REF!</definedName>
    <definedName name="accelikkatsu343">変更別紙!#REF!</definedName>
    <definedName name="accelikkatsu344">変更別紙!#REF!</definedName>
    <definedName name="accelikkatsu345">変更別紙!#REF!</definedName>
    <definedName name="accelikkatsu346">変更別紙!#REF!</definedName>
    <definedName name="accelikkatsu347">変更別紙!#REF!</definedName>
    <definedName name="accelikkatsu348">変更別紙!#REF!</definedName>
    <definedName name="accelikkatsu349">変更別紙!#REF!</definedName>
    <definedName name="accelikkatsu350">変更別紙!#REF!</definedName>
    <definedName name="accelikkatsu351">変更別紙!#REF!</definedName>
    <definedName name="accelikkatsu352">変更別紙!#REF!</definedName>
    <definedName name="accelikkatsu353">変更別紙!#REF!</definedName>
    <definedName name="accelikkatsu354">変更別紙!#REF!</definedName>
    <definedName name="accelikkatsu355">変更別紙!#REF!</definedName>
    <definedName name="accelikkatsu356">変更別紙!#REF!</definedName>
    <definedName name="accelikkatsu357">変更別紙!#REF!</definedName>
    <definedName name="accelikkatsu358">変更別紙!#REF!</definedName>
    <definedName name="accelikkatsu359">変更別紙!#REF!</definedName>
    <definedName name="accelikkatsu360">変更別紙!#REF!</definedName>
    <definedName name="accelikkatsu361">変更別紙!#REF!</definedName>
    <definedName name="accelikkatsu362">変更別紙!#REF!</definedName>
    <definedName name="accelikkatsu363">変更別紙!#REF!</definedName>
    <definedName name="accelikkatsu364">変更別紙!#REF!</definedName>
    <definedName name="accelikkatsu365">変更別紙!#REF!</definedName>
    <definedName name="accelikkatsu366">変更別紙!#REF!</definedName>
    <definedName name="accelikkatsu367">変更別紙!#REF!</definedName>
    <definedName name="accelikkatsu368">変更別紙!#REF!</definedName>
    <definedName name="accelikkatsu369">変更別紙!#REF!</definedName>
    <definedName name="accelikkatsu370">変更別紙!#REF!</definedName>
    <definedName name="accelikkatsu371">変更別紙!#REF!</definedName>
    <definedName name="accelikkatsu372">変更別紙!#REF!</definedName>
    <definedName name="accelikkatsu373">変更別紙!#REF!</definedName>
    <definedName name="accelikkatsu374">変更別紙!#REF!</definedName>
    <definedName name="accelikkatsu375">変更別紙!#REF!</definedName>
    <definedName name="accelikkatsu376">変更別紙!#REF!</definedName>
    <definedName name="accelikkatsu377">変更別紙!#REF!</definedName>
    <definedName name="accelikkatsu378">変更別紙!#REF!</definedName>
    <definedName name="accelikkatsu379">変更別紙!#REF!</definedName>
    <definedName name="accelikkatsu380">変更別紙!#REF!</definedName>
    <definedName name="accelikkatsu381">変更別紙!#REF!</definedName>
    <definedName name="accelikkatsu382">変更別紙!#REF!</definedName>
    <definedName name="accelikkatsu383">変更別紙!#REF!</definedName>
    <definedName name="accelikkatsu384">変更別紙!#REF!</definedName>
    <definedName name="accelikkatsu385">変更別紙!#REF!</definedName>
    <definedName name="accelikkatsu386">変更別紙!#REF!</definedName>
    <definedName name="accelikkatsu387">変更別紙!#REF!</definedName>
    <definedName name="accelikkatsu388">変更別紙!#REF!</definedName>
    <definedName name="accelikkatsu389">変更別紙!#REF!</definedName>
    <definedName name="accelikkatsu390">変更別紙!#REF!</definedName>
    <definedName name="accelikkatsu391">変更別紙!#REF!</definedName>
    <definedName name="accelikkatsu392">変更別紙!#REF!</definedName>
    <definedName name="accelikkatsu393">変更別紙!#REF!</definedName>
    <definedName name="accelikkatsu394">変更別紙!#REF!</definedName>
    <definedName name="accelikkatsu395">変更別紙!#REF!</definedName>
    <definedName name="accelikkatsu396">変更別紙!#REF!</definedName>
    <definedName name="accelikkatsu397">変更別紙!#REF!</definedName>
    <definedName name="accelikkatsu398">変更別紙!#REF!</definedName>
    <definedName name="accelikkatsu399">変更別紙!#REF!</definedName>
    <definedName name="accelikkatsu400">変更別紙!#REF!</definedName>
    <definedName name="accelikkatsu401">変更別紙!#REF!</definedName>
    <definedName name="accelikkatsu402">変更別紙!#REF!</definedName>
    <definedName name="accelikkatsu403">変更別紙!#REF!</definedName>
    <definedName name="accelikkatsu404">変更別紙!#REF!</definedName>
    <definedName name="accelikkatsu405">変更別紙!#REF!</definedName>
    <definedName name="accelikkatsu406">変更別紙!#REF!</definedName>
    <definedName name="accelikkatsu407">変更別紙!#REF!</definedName>
    <definedName name="accelikkatsu408">変更別紙!#REF!</definedName>
    <definedName name="accelikkatsu409">変更別紙!#REF!</definedName>
    <definedName name="accelikkatsu410">変更別紙!#REF!</definedName>
    <definedName name="accelikkatsu411">変更別紙!#REF!</definedName>
    <definedName name="accelikkatsu412">変更別紙!#REF!</definedName>
    <definedName name="accelikkatsu413">変更別紙!#REF!</definedName>
    <definedName name="accelikkatsu414">変更別紙!#REF!</definedName>
    <definedName name="accelikkatsu415">変更別紙!#REF!</definedName>
    <definedName name="accelikkatsu416">変更別紙!#REF!</definedName>
    <definedName name="accelikkatsu417">変更別紙!#REF!</definedName>
    <definedName name="accelikkatsu418">変更別紙!#REF!</definedName>
    <definedName name="accelikkatsu419">変更別紙!#REF!</definedName>
    <definedName name="accelikkatsu420">変更別紙!#REF!</definedName>
    <definedName name="accelikkatsu421">変更別紙!#REF!</definedName>
    <definedName name="accelikkatsu422">変更別紙!#REF!</definedName>
    <definedName name="accelikkatsu423">変更別紙!#REF!</definedName>
    <definedName name="accelikkatsu424">変更別紙!#REF!</definedName>
    <definedName name="accelikkatsu425">変更別紙!#REF!</definedName>
    <definedName name="accelikkatsu426">変更別紙!#REF!</definedName>
    <definedName name="accelikkatsu427">変更別紙!#REF!</definedName>
    <definedName name="accelikkatsu428">変更別紙!#REF!</definedName>
    <definedName name="accelikkatsu429">変更別紙!#REF!</definedName>
    <definedName name="accelikkatsu430">変更別紙!#REF!</definedName>
    <definedName name="accelikkatsu431">変更別紙!#REF!</definedName>
    <definedName name="accelikkatsu432">変更別紙!#REF!</definedName>
    <definedName name="accelikkatsu433">変更別紙!#REF!</definedName>
    <definedName name="accelikkatsu434">変更別紙!#REF!</definedName>
    <definedName name="accelikkatsu435">変更別紙!#REF!</definedName>
    <definedName name="accelikkatsu436">変更別紙!#REF!</definedName>
    <definedName name="accelikkatsu437">変更別紙!#REF!</definedName>
    <definedName name="accelikkatsu438">変更別紙!#REF!</definedName>
    <definedName name="accelikkatsu439">変更別紙!#REF!</definedName>
    <definedName name="accelikkatsu440">変更別紙!#REF!</definedName>
    <definedName name="accelikkatsu441">変更別紙!#REF!</definedName>
    <definedName name="accelikkatsu442">変更別紙!#REF!</definedName>
    <definedName name="accelikkatsu443">変更別紙!#REF!</definedName>
    <definedName name="accelikkatsu444">変更別紙!#REF!</definedName>
    <definedName name="accelikkatsu445">変更別紙!#REF!</definedName>
    <definedName name="accelikkatsu446">変更別紙!#REF!</definedName>
    <definedName name="accelikkatsu447">変更別紙!#REF!</definedName>
    <definedName name="accelikkatsu448">変更別紙!#REF!</definedName>
    <definedName name="accelikkatsu449">変更別紙!#REF!</definedName>
    <definedName name="accelikkatsu450">変更別紙!#REF!</definedName>
    <definedName name="accelikkatsu451">変更別紙!#REF!</definedName>
    <definedName name="accelikkatsu452">変更別紙!#REF!</definedName>
    <definedName name="accelikkatsu453">変更別紙!#REF!</definedName>
    <definedName name="accelikkatsu454">変更別紙!#REF!</definedName>
    <definedName name="accelikkatsu455">変更別紙!#REF!</definedName>
    <definedName name="accelikkatsu456">変更別紙!#REF!</definedName>
    <definedName name="accelikkatsu457">変更別紙!#REF!</definedName>
    <definedName name="accelikkatsu458">変更別紙!#REF!</definedName>
    <definedName name="accelikkatsu459">変更別紙!#REF!</definedName>
    <definedName name="accelikkatsu460">変更別紙!#REF!</definedName>
    <definedName name="accelikkatsu461">変更別紙!#REF!</definedName>
    <definedName name="accelikkatsu462">変更別紙!#REF!</definedName>
    <definedName name="accelikkatsu463">変更別紙!#REF!</definedName>
    <definedName name="accelikkatsu464">変更別紙!#REF!</definedName>
    <definedName name="accelikkatsu465">変更別紙!#REF!</definedName>
    <definedName name="accelikkatsu466">変更別紙!#REF!</definedName>
    <definedName name="accelikkatsu467">変更別紙!#REF!</definedName>
    <definedName name="accelikkatsu468">変更別紙!#REF!</definedName>
    <definedName name="accelikkatsu469">変更別紙!#REF!</definedName>
    <definedName name="accelikkatsu470">変更別紙!#REF!</definedName>
    <definedName name="accelikkatsu471">変更別紙!#REF!</definedName>
    <definedName name="accelikkatsu472">変更別紙!#REF!</definedName>
    <definedName name="accelikkatsu473">変更別紙!#REF!</definedName>
    <definedName name="accelikkatsu474">変更別紙!#REF!</definedName>
    <definedName name="accelikkatsu475">変更別紙!#REF!</definedName>
    <definedName name="accelikkatsu476">変更別紙!#REF!</definedName>
    <definedName name="accelikkatsu477">変更別紙!#REF!</definedName>
    <definedName name="accelikkatsu478">変更別紙!#REF!</definedName>
    <definedName name="accelikkatsu479">変更別紙!#REF!</definedName>
    <definedName name="accelikkatsu480">変更別紙!#REF!</definedName>
    <definedName name="accelikkatsu481">変更別紙!#REF!</definedName>
    <definedName name="accelikkatsu482">変更別紙!#REF!</definedName>
    <definedName name="accelikkatsu483">変更別紙!#REF!</definedName>
    <definedName name="accelikkatsu484">変更別紙!#REF!</definedName>
    <definedName name="accelikkatsu485">変更別紙!#REF!</definedName>
    <definedName name="accelikkatsu486">変更別紙!#REF!</definedName>
    <definedName name="accelikkatsu487">変更別紙!#REF!</definedName>
    <definedName name="accelikkatsu488">変更別紙!#REF!</definedName>
    <definedName name="accelikkatsu489">変更別紙!#REF!</definedName>
    <definedName name="accelikkatsu490">変更別紙!#REF!</definedName>
    <definedName name="accelikkatsu491">変更別紙!#REF!</definedName>
    <definedName name="accelikkatsu492">変更別紙!#REF!</definedName>
    <definedName name="accelikkatsu493">変更別紙!#REF!</definedName>
    <definedName name="accelikkatsu494">変更別紙!#REF!</definedName>
    <definedName name="accelikkatsu495">変更別紙!#REF!</definedName>
    <definedName name="accelikkatsu496">変更別紙!#REF!</definedName>
    <definedName name="accelikkatsu497">変更別紙!#REF!</definedName>
    <definedName name="accelikkatsu498">変更別紙!#REF!</definedName>
    <definedName name="accelikkatsu499">変更別紙!#REF!</definedName>
    <definedName name="accelikkatsu500">変更別紙!#REF!</definedName>
    <definedName name="applicationArrivalDate">付替お申込書!$K$10</definedName>
    <definedName name="belugabun001">変更別紙!$L$13</definedName>
    <definedName name="belugabun002">変更別紙!$L$14</definedName>
    <definedName name="belugabun003">変更別紙!$L$15</definedName>
    <definedName name="belugabun004">変更別紙!$L$16</definedName>
    <definedName name="belugabun005">変更別紙!$L$17</definedName>
    <definedName name="belugabun006">変更別紙!$L$18</definedName>
    <definedName name="belugabun007">変更別紙!$L$19</definedName>
    <definedName name="belugabun008">変更別紙!$L$20</definedName>
    <definedName name="belugabun009">変更別紙!$L$21</definedName>
    <definedName name="belugabun010">変更別紙!$L$22</definedName>
    <definedName name="belugabun011">変更別紙!$L$23</definedName>
    <definedName name="belugabun012">変更別紙!$L$24</definedName>
    <definedName name="belugabun013">変更別紙!$L$25</definedName>
    <definedName name="belugabun014">変更別紙!$L$26</definedName>
    <definedName name="belugabun015">変更別紙!$L$27</definedName>
    <definedName name="belugabun016">変更別紙!$L$28</definedName>
    <definedName name="belugabun017">変更別紙!$L$29</definedName>
    <definedName name="belugabun018">変更別紙!$L$30</definedName>
    <definedName name="belugabun019">変更別紙!$L$31</definedName>
    <definedName name="belugabun020">変更別紙!$L$32</definedName>
    <definedName name="belugabun021">変更別紙!$L$33</definedName>
    <definedName name="belugabun022">変更別紙!$L$34</definedName>
    <definedName name="belugabun023">変更別紙!$L$35</definedName>
    <definedName name="belugabun024">変更別紙!$L$36</definedName>
    <definedName name="belugabun025">変更別紙!$L$37</definedName>
    <definedName name="belugabun026">変更別紙!$L$38</definedName>
    <definedName name="belugabun027">変更別紙!$L$39</definedName>
    <definedName name="belugabun028">変更別紙!$L$40</definedName>
    <definedName name="belugabun029">変更別紙!$L$41</definedName>
    <definedName name="belugabun030">変更別紙!$L$42</definedName>
    <definedName name="belugabun031">変更別紙!$L$43</definedName>
    <definedName name="belugabun032">変更別紙!$L$44</definedName>
    <definedName name="belugabun033">変更別紙!$L$45</definedName>
    <definedName name="belugabun034">変更別紙!$L$46</definedName>
    <definedName name="belugabun035">変更別紙!$L$47</definedName>
    <definedName name="belugabun036">変更別紙!$L$48</definedName>
    <definedName name="belugabun037">変更別紙!$L$49</definedName>
    <definedName name="belugabun038">変更別紙!$L$50</definedName>
    <definedName name="belugabun039">変更別紙!$L$51</definedName>
    <definedName name="belugabun040">変更別紙!$L$52</definedName>
    <definedName name="belugabun041">変更別紙!$L$53</definedName>
    <definedName name="belugabun042">変更別紙!$L$54</definedName>
    <definedName name="belugabun043">変更別紙!$L$55</definedName>
    <definedName name="belugabun044">変更別紙!$L$56</definedName>
    <definedName name="belugabun045">変更別紙!$L$57</definedName>
    <definedName name="belugabun046">変更別紙!$L$58</definedName>
    <definedName name="belugabun047">変更別紙!$L$59</definedName>
    <definedName name="belugabun048">変更別紙!$L$60</definedName>
    <definedName name="belugabun049">変更別紙!$L$61</definedName>
    <definedName name="belugabun050">変更別紙!$L$62</definedName>
    <definedName name="belugabun051">変更別紙!$L$63</definedName>
    <definedName name="belugabun052">変更別紙!$L$64</definedName>
    <definedName name="belugabun053">変更別紙!$L$65</definedName>
    <definedName name="belugabun054">変更別紙!$L$66</definedName>
    <definedName name="belugabun055">変更別紙!$L$67</definedName>
    <definedName name="belugabun056">変更別紙!$L$68</definedName>
    <definedName name="belugabun057">変更別紙!$L$69</definedName>
    <definedName name="belugabun058">変更別紙!$L$70</definedName>
    <definedName name="belugabun059">変更別紙!$L$71</definedName>
    <definedName name="belugabun060">変更別紙!$L$72</definedName>
    <definedName name="belugabun061">変更別紙!$L$73</definedName>
    <definedName name="belugabun062">変更別紙!$L$74</definedName>
    <definedName name="belugabun063">変更別紙!$L$75</definedName>
    <definedName name="belugabun064">変更別紙!$L$76</definedName>
    <definedName name="belugabun065">変更別紙!$L$77</definedName>
    <definedName name="belugabun066">変更別紙!$L$78</definedName>
    <definedName name="belugabun067">変更別紙!$L$79</definedName>
    <definedName name="belugabun068">変更別紙!$L$80</definedName>
    <definedName name="belugabun069">変更別紙!$L$81</definedName>
    <definedName name="belugabun070">変更別紙!$L$82</definedName>
    <definedName name="belugabun071">変更別紙!$L$83</definedName>
    <definedName name="belugabun072">変更別紙!$L$84</definedName>
    <definedName name="belugabun073">変更別紙!$L$85</definedName>
    <definedName name="belugabun074">変更別紙!$L$86</definedName>
    <definedName name="belugabun075">変更別紙!$L$87</definedName>
    <definedName name="belugabun076">変更別紙!$L$88</definedName>
    <definedName name="belugabun077">変更別紙!$L$89</definedName>
    <definedName name="belugabun078">変更別紙!$L$90</definedName>
    <definedName name="belugabun079">変更別紙!$L$91</definedName>
    <definedName name="belugabun080">変更別紙!$L$92</definedName>
    <definedName name="belugabun081">変更別紙!$L$93</definedName>
    <definedName name="belugabun082">変更別紙!$L$94</definedName>
    <definedName name="belugabun083">変更別紙!$L$95</definedName>
    <definedName name="belugabun084">変更別紙!$L$96</definedName>
    <definedName name="belugabun085">変更別紙!$L$97</definedName>
    <definedName name="belugabun086">変更別紙!$L$98</definedName>
    <definedName name="belugabun087">変更別紙!$L$99</definedName>
    <definedName name="belugabun088">変更別紙!$L$100</definedName>
    <definedName name="belugabun089">変更別紙!$L$101</definedName>
    <definedName name="belugabun090">変更別紙!$L$102</definedName>
    <definedName name="belugabun091">変更別紙!$L$103</definedName>
    <definedName name="belugabun092">変更別紙!$L$104</definedName>
    <definedName name="belugabun093">変更別紙!$L$105</definedName>
    <definedName name="belugabun094">変更別紙!$L$106</definedName>
    <definedName name="belugabun095">変更別紙!$L$107</definedName>
    <definedName name="belugabun096">変更別紙!$L$108</definedName>
    <definedName name="belugabun097">変更別紙!$L$109</definedName>
    <definedName name="belugabun098">変更別紙!$L$110</definedName>
    <definedName name="belugabun099">変更別紙!$L$111</definedName>
    <definedName name="belugabun100">変更別紙!$L$112</definedName>
    <definedName name="belugabun101">変更別紙!$L$113</definedName>
    <definedName name="belugabun102">変更別紙!$L$114</definedName>
    <definedName name="belugabun103">変更別紙!$L$115</definedName>
    <definedName name="belugabun104">変更別紙!$L$116</definedName>
    <definedName name="belugabun105">変更別紙!$L$117</definedName>
    <definedName name="belugabun106">変更別紙!$L$118</definedName>
    <definedName name="belugabun107">変更別紙!$L$119</definedName>
    <definedName name="belugabun108">変更別紙!$L$120</definedName>
    <definedName name="belugabun109">変更別紙!$L$121</definedName>
    <definedName name="belugabun110">変更別紙!$L$122</definedName>
    <definedName name="belugabun111">変更別紙!$L$123</definedName>
    <definedName name="belugabun112">変更別紙!$L$124</definedName>
    <definedName name="belugabun113">変更別紙!$L$125</definedName>
    <definedName name="belugabun114">変更別紙!$L$126</definedName>
    <definedName name="belugabun115">変更別紙!$L$127</definedName>
    <definedName name="belugabun116">変更別紙!$L$128</definedName>
    <definedName name="belugabun117">変更別紙!$L$129</definedName>
    <definedName name="belugabun118">変更別紙!$L$130</definedName>
    <definedName name="belugabun119">変更別紙!$L$131</definedName>
    <definedName name="belugabun120">変更別紙!$L$132</definedName>
    <definedName name="belugabun121">変更別紙!$L$133</definedName>
    <definedName name="belugabun122">変更別紙!$L$134</definedName>
    <definedName name="belugabun123">変更別紙!$L$135</definedName>
    <definedName name="belugabun124">変更別紙!$L$136</definedName>
    <definedName name="belugabun125">変更別紙!$L$137</definedName>
    <definedName name="belugabun126">変更別紙!$L$138</definedName>
    <definedName name="belugabun127">変更別紙!$L$139</definedName>
    <definedName name="belugabun128">変更別紙!$L$140</definedName>
    <definedName name="belugabun129">変更別紙!$L$141</definedName>
    <definedName name="belugabun130">変更別紙!$L$142</definedName>
    <definedName name="belugabun131">変更別紙!$L$143</definedName>
    <definedName name="belugabun132">変更別紙!$L$144</definedName>
    <definedName name="belugabun133">変更別紙!$L$145</definedName>
    <definedName name="belugabun134">変更別紙!$L$146</definedName>
    <definedName name="belugabun135">変更別紙!$L$147</definedName>
    <definedName name="belugabun136">変更別紙!$L$148</definedName>
    <definedName name="belugabun137">変更別紙!$L$149</definedName>
    <definedName name="belugabun138">変更別紙!$L$150</definedName>
    <definedName name="belugabun139">変更別紙!$L$151</definedName>
    <definedName name="belugabun140">変更別紙!$L$152</definedName>
    <definedName name="belugabun141">変更別紙!$L$153</definedName>
    <definedName name="belugabun142">変更別紙!$L$154</definedName>
    <definedName name="belugabun143">変更別紙!$L$155</definedName>
    <definedName name="belugabun144">変更別紙!$L$156</definedName>
    <definedName name="belugabun145">変更別紙!$L$157</definedName>
    <definedName name="belugabun146">変更別紙!$L$158</definedName>
    <definedName name="belugabun147">変更別紙!$L$159</definedName>
    <definedName name="belugabun148">変更別紙!$L$160</definedName>
    <definedName name="belugabun149">変更別紙!$L$161</definedName>
    <definedName name="belugabun150">変更別紙!$L$162</definedName>
    <definedName name="belugabun151">変更別紙!$L$163</definedName>
    <definedName name="belugabun152">変更別紙!$L$164</definedName>
    <definedName name="belugabun153">変更別紙!$L$165</definedName>
    <definedName name="belugabun154">変更別紙!$L$166</definedName>
    <definedName name="belugabun155">変更別紙!$L$167</definedName>
    <definedName name="belugabun156">変更別紙!$L$168</definedName>
    <definedName name="belugabun157">変更別紙!$L$169</definedName>
    <definedName name="belugabun158">変更別紙!$L$170</definedName>
    <definedName name="belugabun159">変更別紙!$L$171</definedName>
    <definedName name="belugabun160">変更別紙!$L$172</definedName>
    <definedName name="belugabun161">変更別紙!$L$173</definedName>
    <definedName name="belugabun162">変更別紙!$L$174</definedName>
    <definedName name="belugabun163">変更別紙!$L$175</definedName>
    <definedName name="belugabun164">変更別紙!$L$176</definedName>
    <definedName name="belugabun165">変更別紙!$L$177</definedName>
    <definedName name="belugabun166">変更別紙!$L$178</definedName>
    <definedName name="belugabun167">変更別紙!$L$179</definedName>
    <definedName name="belugabun168">変更別紙!$L$180</definedName>
    <definedName name="belugabun169">変更別紙!$L$181</definedName>
    <definedName name="belugabun170">変更別紙!$L$182</definedName>
    <definedName name="belugabun171">変更別紙!$L$183</definedName>
    <definedName name="belugabun172">変更別紙!$L$184</definedName>
    <definedName name="belugabun173">変更別紙!$L$185</definedName>
    <definedName name="belugabun174">変更別紙!$L$186</definedName>
    <definedName name="belugabun175">変更別紙!$L$187</definedName>
    <definedName name="belugabun176">変更別紙!$L$188</definedName>
    <definedName name="belugabun177">変更別紙!$L$189</definedName>
    <definedName name="belugabun178">変更別紙!$L$190</definedName>
    <definedName name="belugabun179">変更別紙!$L$191</definedName>
    <definedName name="belugabun180">変更別紙!$L$192</definedName>
    <definedName name="belugabun181">変更別紙!$L$193</definedName>
    <definedName name="belugabun182">変更別紙!$L$194</definedName>
    <definedName name="belugabun183">変更別紙!$L$195</definedName>
    <definedName name="belugabun184">変更別紙!$L$196</definedName>
    <definedName name="belugabun185">変更別紙!$L$197</definedName>
    <definedName name="belugabun186">変更別紙!$L$198</definedName>
    <definedName name="belugabun187">変更別紙!$L$199</definedName>
    <definedName name="belugabun188">変更別紙!$L$200</definedName>
    <definedName name="belugabun189">変更別紙!$L$201</definedName>
    <definedName name="belugabun190">変更別紙!$L$202</definedName>
    <definedName name="belugabun191">変更別紙!$L$203</definedName>
    <definedName name="belugabun192">変更別紙!$L$204</definedName>
    <definedName name="belugabun193">変更別紙!$L$205</definedName>
    <definedName name="belugabun194">変更別紙!$L$206</definedName>
    <definedName name="belugabun195">変更別紙!$L$207</definedName>
    <definedName name="belugabun196">変更別紙!$L$208</definedName>
    <definedName name="belugabun197">変更別紙!$L$209</definedName>
    <definedName name="belugabun198">変更別紙!$L$210</definedName>
    <definedName name="belugabun199">変更別紙!$L$211</definedName>
    <definedName name="belugabun200">変更別紙!$L$212</definedName>
    <definedName name="belugabun201">変更別紙!$L$213</definedName>
    <definedName name="belugabun202">変更別紙!$L$214</definedName>
    <definedName name="belugabun203">変更別紙!$L$215</definedName>
    <definedName name="belugabun204">変更別紙!$L$216</definedName>
    <definedName name="belugabun205">変更別紙!$L$217</definedName>
    <definedName name="belugabun206">変更別紙!$L$218</definedName>
    <definedName name="belugabun207">変更別紙!$L$219</definedName>
    <definedName name="belugabun208">変更別紙!$L$220</definedName>
    <definedName name="belugabun209">変更別紙!$L$221</definedName>
    <definedName name="belugabun210">変更別紙!$L$222</definedName>
    <definedName name="belugabun211">変更別紙!$L$223</definedName>
    <definedName name="belugabun212">変更別紙!$L$224</definedName>
    <definedName name="belugabun213">変更別紙!$L$225</definedName>
    <definedName name="belugabun214">変更別紙!$L$226</definedName>
    <definedName name="belugabun215">変更別紙!$L$227</definedName>
    <definedName name="belugabun216">変更別紙!$L$228</definedName>
    <definedName name="belugabun217">変更別紙!$L$229</definedName>
    <definedName name="belugabun218">変更別紙!$L$230</definedName>
    <definedName name="belugabun219">変更別紙!$L$231</definedName>
    <definedName name="belugabun220">変更別紙!$L$232</definedName>
    <definedName name="belugabun221">変更別紙!$L$233</definedName>
    <definedName name="belugabun222">変更別紙!$L$234</definedName>
    <definedName name="belugabun223">変更別紙!$L$235</definedName>
    <definedName name="belugabun224">変更別紙!$L$236</definedName>
    <definedName name="belugabun225">変更別紙!$L$237</definedName>
    <definedName name="belugabun226">変更別紙!$L$238</definedName>
    <definedName name="belugabun227">変更別紙!$L$239</definedName>
    <definedName name="belugabun228">変更別紙!$L$240</definedName>
    <definedName name="belugabun229">変更別紙!$L$241</definedName>
    <definedName name="belugabun230">変更別紙!$L$242</definedName>
    <definedName name="belugabun231">変更別紙!$L$243</definedName>
    <definedName name="belugabun232">変更別紙!$L$244</definedName>
    <definedName name="belugabun233">変更別紙!$L$245</definedName>
    <definedName name="belugabun234">変更別紙!$L$246</definedName>
    <definedName name="belugabun235">変更別紙!$L$247</definedName>
    <definedName name="belugabun236">変更別紙!$L$248</definedName>
    <definedName name="belugabun237">変更別紙!$L$249</definedName>
    <definedName name="belugabun238">変更別紙!$L$250</definedName>
    <definedName name="belugabun239">変更別紙!$L$251</definedName>
    <definedName name="belugabun240">変更別紙!$L$252</definedName>
    <definedName name="belugabun241">変更別紙!$L$253</definedName>
    <definedName name="belugabun242">変更別紙!$L$254</definedName>
    <definedName name="belugabun243">変更別紙!$L$255</definedName>
    <definedName name="belugabun244">変更別紙!$L$256</definedName>
    <definedName name="belugabun245">変更別紙!$L$257</definedName>
    <definedName name="belugabun246">変更別紙!$L$258</definedName>
    <definedName name="belugabun247">変更別紙!$L$259</definedName>
    <definedName name="belugabun248">変更別紙!$L$260</definedName>
    <definedName name="belugabun249">変更別紙!$L$261</definedName>
    <definedName name="belugabun250">変更別紙!$L$262</definedName>
    <definedName name="belugabun251">変更別紙!#REF!</definedName>
    <definedName name="belugabun252">変更別紙!#REF!</definedName>
    <definedName name="belugabun253">変更別紙!#REF!</definedName>
    <definedName name="belugabun254">変更別紙!#REF!</definedName>
    <definedName name="belugabun255">変更別紙!#REF!</definedName>
    <definedName name="belugabun256">変更別紙!#REF!</definedName>
    <definedName name="belugabun257">変更別紙!#REF!</definedName>
    <definedName name="belugabun258">変更別紙!#REF!</definedName>
    <definedName name="belugabun259">変更別紙!#REF!</definedName>
    <definedName name="belugabun260">変更別紙!#REF!</definedName>
    <definedName name="belugabun261">変更別紙!#REF!</definedName>
    <definedName name="belugabun262">変更別紙!#REF!</definedName>
    <definedName name="belugabun263">変更別紙!#REF!</definedName>
    <definedName name="belugabun264">変更別紙!#REF!</definedName>
    <definedName name="belugabun265">変更別紙!#REF!</definedName>
    <definedName name="belugabun266">変更別紙!#REF!</definedName>
    <definedName name="belugabun267">変更別紙!#REF!</definedName>
    <definedName name="belugabun268">変更別紙!#REF!</definedName>
    <definedName name="belugabun269">変更別紙!#REF!</definedName>
    <definedName name="belugabun270">変更別紙!#REF!</definedName>
    <definedName name="belugabun271">変更別紙!#REF!</definedName>
    <definedName name="belugabun272">変更別紙!#REF!</definedName>
    <definedName name="belugabun273">変更別紙!#REF!</definedName>
    <definedName name="belugabun274">変更別紙!#REF!</definedName>
    <definedName name="belugabun275">変更別紙!#REF!</definedName>
    <definedName name="belugabun276">変更別紙!#REF!</definedName>
    <definedName name="belugabun277">変更別紙!#REF!</definedName>
    <definedName name="belugabun278">変更別紙!#REF!</definedName>
    <definedName name="belugabun279">変更別紙!#REF!</definedName>
    <definedName name="belugabun280">変更別紙!#REF!</definedName>
    <definedName name="belugabun281">変更別紙!#REF!</definedName>
    <definedName name="belugabun282">変更別紙!#REF!</definedName>
    <definedName name="belugabun283">変更別紙!#REF!</definedName>
    <definedName name="belugabun284">変更別紙!#REF!</definedName>
    <definedName name="belugabun285">変更別紙!#REF!</definedName>
    <definedName name="belugabun286">変更別紙!#REF!</definedName>
    <definedName name="belugabun287">変更別紙!#REF!</definedName>
    <definedName name="belugabun288">変更別紙!#REF!</definedName>
    <definedName name="belugabun289">変更別紙!#REF!</definedName>
    <definedName name="belugabun290">変更別紙!#REF!</definedName>
    <definedName name="belugabun291">変更別紙!#REF!</definedName>
    <definedName name="belugabun292">変更別紙!#REF!</definedName>
    <definedName name="belugabun293">変更別紙!#REF!</definedName>
    <definedName name="belugabun294">変更別紙!#REF!</definedName>
    <definedName name="belugabun295">変更別紙!#REF!</definedName>
    <definedName name="belugabun296">変更別紙!#REF!</definedName>
    <definedName name="belugabun297">変更別紙!#REF!</definedName>
    <definedName name="belugabun298">変更別紙!#REF!</definedName>
    <definedName name="belugabun299">変更別紙!#REF!</definedName>
    <definedName name="belugabun300">変更別紙!#REF!</definedName>
    <definedName name="belugabun301">変更別紙!#REF!</definedName>
    <definedName name="belugabun302">変更別紙!#REF!</definedName>
    <definedName name="belugabun303">変更別紙!#REF!</definedName>
    <definedName name="belugabun304">変更別紙!#REF!</definedName>
    <definedName name="belugabun305">変更別紙!#REF!</definedName>
    <definedName name="belugabun306">変更別紙!#REF!</definedName>
    <definedName name="belugabun307">変更別紙!#REF!</definedName>
    <definedName name="belugabun308">変更別紙!#REF!</definedName>
    <definedName name="belugabun309">変更別紙!#REF!</definedName>
    <definedName name="belugabun310">変更別紙!#REF!</definedName>
    <definedName name="belugabun311">変更別紙!#REF!</definedName>
    <definedName name="belugabun312">変更別紙!#REF!</definedName>
    <definedName name="belugabun313">変更別紙!#REF!</definedName>
    <definedName name="belugabun314">変更別紙!#REF!</definedName>
    <definedName name="belugabun315">変更別紙!#REF!</definedName>
    <definedName name="belugabun316">変更別紙!#REF!</definedName>
    <definedName name="belugabun317">変更別紙!#REF!</definedName>
    <definedName name="belugabun318">変更別紙!#REF!</definedName>
    <definedName name="belugabun319">変更別紙!#REF!</definedName>
    <definedName name="belugabun320">変更別紙!#REF!</definedName>
    <definedName name="belugabun321">変更別紙!#REF!</definedName>
    <definedName name="belugabun322">変更別紙!#REF!</definedName>
    <definedName name="belugabun323">変更別紙!#REF!</definedName>
    <definedName name="belugabun324">変更別紙!#REF!</definedName>
    <definedName name="belugabun325">変更別紙!#REF!</definedName>
    <definedName name="belugabun326">変更別紙!#REF!</definedName>
    <definedName name="belugabun327">変更別紙!#REF!</definedName>
    <definedName name="belugabun328">変更別紙!#REF!</definedName>
    <definedName name="belugabun329">変更別紙!#REF!</definedName>
    <definedName name="belugabun330">変更別紙!#REF!</definedName>
    <definedName name="belugabun331">変更別紙!#REF!</definedName>
    <definedName name="belugabun332">変更別紙!#REF!</definedName>
    <definedName name="belugabun333">変更別紙!#REF!</definedName>
    <definedName name="belugabun334">変更別紙!#REF!</definedName>
    <definedName name="belugabun335">変更別紙!#REF!</definedName>
    <definedName name="belugabun336">変更別紙!#REF!</definedName>
    <definedName name="belugabun337">変更別紙!#REF!</definedName>
    <definedName name="belugabun338">変更別紙!#REF!</definedName>
    <definedName name="belugabun339">変更別紙!#REF!</definedName>
    <definedName name="belugabun340">変更別紙!#REF!</definedName>
    <definedName name="belugabun341">変更別紙!#REF!</definedName>
    <definedName name="belugabun342">変更別紙!#REF!</definedName>
    <definedName name="belugabun343">変更別紙!#REF!</definedName>
    <definedName name="belugabun344">変更別紙!#REF!</definedName>
    <definedName name="belugabun345">変更別紙!#REF!</definedName>
    <definedName name="belugabun346">変更別紙!#REF!</definedName>
    <definedName name="belugabun347">変更別紙!#REF!</definedName>
    <definedName name="belugabun348">変更別紙!#REF!</definedName>
    <definedName name="belugabun349">変更別紙!#REF!</definedName>
    <definedName name="belugabun350">変更別紙!#REF!</definedName>
    <definedName name="belugabun351">変更別紙!#REF!</definedName>
    <definedName name="belugabun352">変更別紙!#REF!</definedName>
    <definedName name="belugabun353">変更別紙!#REF!</definedName>
    <definedName name="belugabun354">変更別紙!#REF!</definedName>
    <definedName name="belugabun355">変更別紙!#REF!</definedName>
    <definedName name="belugabun356">変更別紙!#REF!</definedName>
    <definedName name="belugabun357">変更別紙!#REF!</definedName>
    <definedName name="belugabun358">変更別紙!#REF!</definedName>
    <definedName name="belugabun359">変更別紙!#REF!</definedName>
    <definedName name="belugabun360">変更別紙!#REF!</definedName>
    <definedName name="belugabun361">変更別紙!#REF!</definedName>
    <definedName name="belugabun362">変更別紙!#REF!</definedName>
    <definedName name="belugabun363">変更別紙!#REF!</definedName>
    <definedName name="belugabun364">変更別紙!#REF!</definedName>
    <definedName name="belugabun365">変更別紙!#REF!</definedName>
    <definedName name="belugabun366">変更別紙!#REF!</definedName>
    <definedName name="belugabun367">変更別紙!#REF!</definedName>
    <definedName name="belugabun368">変更別紙!#REF!</definedName>
    <definedName name="belugabun369">変更別紙!#REF!</definedName>
    <definedName name="belugabun370">変更別紙!#REF!</definedName>
    <definedName name="belugabun371">変更別紙!#REF!</definedName>
    <definedName name="belugabun372">変更別紙!#REF!</definedName>
    <definedName name="belugabun373">変更別紙!#REF!</definedName>
    <definedName name="belugabun374">変更別紙!#REF!</definedName>
    <definedName name="belugabun375">変更別紙!#REF!</definedName>
    <definedName name="belugabun376">変更別紙!#REF!</definedName>
    <definedName name="belugabun377">変更別紙!#REF!</definedName>
    <definedName name="belugabun378">変更別紙!#REF!</definedName>
    <definedName name="belugabun379">変更別紙!#REF!</definedName>
    <definedName name="belugabun380">変更別紙!#REF!</definedName>
    <definedName name="belugabun381">変更別紙!#REF!</definedName>
    <definedName name="belugabun382">変更別紙!#REF!</definedName>
    <definedName name="belugabun383">変更別紙!#REF!</definedName>
    <definedName name="belugabun384">変更別紙!#REF!</definedName>
    <definedName name="belugabun385">変更別紙!#REF!</definedName>
    <definedName name="belugabun386">変更別紙!#REF!</definedName>
    <definedName name="belugabun387">変更別紙!#REF!</definedName>
    <definedName name="belugabun388">変更別紙!#REF!</definedName>
    <definedName name="belugabun389">変更別紙!#REF!</definedName>
    <definedName name="belugabun390">変更別紙!#REF!</definedName>
    <definedName name="belugabun391">変更別紙!#REF!</definedName>
    <definedName name="belugabun392">変更別紙!#REF!</definedName>
    <definedName name="belugabun393">変更別紙!#REF!</definedName>
    <definedName name="belugabun394">変更別紙!#REF!</definedName>
    <definedName name="belugabun395">変更別紙!#REF!</definedName>
    <definedName name="belugabun396">変更別紙!#REF!</definedName>
    <definedName name="belugabun397">変更別紙!#REF!</definedName>
    <definedName name="belugabun398">変更別紙!#REF!</definedName>
    <definedName name="belugabun399">変更別紙!#REF!</definedName>
    <definedName name="belugabun400">変更別紙!#REF!</definedName>
    <definedName name="belugabun401">変更別紙!#REF!</definedName>
    <definedName name="belugabun402">変更別紙!#REF!</definedName>
    <definedName name="belugabun403">変更別紙!#REF!</definedName>
    <definedName name="belugabun404">変更別紙!#REF!</definedName>
    <definedName name="belugabun405">変更別紙!#REF!</definedName>
    <definedName name="belugabun406">変更別紙!#REF!</definedName>
    <definedName name="belugabun407">変更別紙!#REF!</definedName>
    <definedName name="belugabun408">変更別紙!#REF!</definedName>
    <definedName name="belugabun409">変更別紙!#REF!</definedName>
    <definedName name="belugabun410">変更別紙!#REF!</definedName>
    <definedName name="belugabun411">変更別紙!#REF!</definedName>
    <definedName name="belugabun412">変更別紙!#REF!</definedName>
    <definedName name="belugabun413">変更別紙!#REF!</definedName>
    <definedName name="belugabun414">変更別紙!#REF!</definedName>
    <definedName name="belugabun415">変更別紙!#REF!</definedName>
    <definedName name="belugabun416">変更別紙!#REF!</definedName>
    <definedName name="belugabun417">変更別紙!#REF!</definedName>
    <definedName name="belugabun418">変更別紙!#REF!</definedName>
    <definedName name="belugabun419">変更別紙!#REF!</definedName>
    <definedName name="belugabun420">変更別紙!#REF!</definedName>
    <definedName name="belugabun421">変更別紙!#REF!</definedName>
    <definedName name="belugabun422">変更別紙!#REF!</definedName>
    <definedName name="belugabun423">変更別紙!#REF!</definedName>
    <definedName name="belugabun424">変更別紙!#REF!</definedName>
    <definedName name="belugabun425">変更別紙!#REF!</definedName>
    <definedName name="belugabun426">変更別紙!#REF!</definedName>
    <definedName name="belugabun427">変更別紙!#REF!</definedName>
    <definedName name="belugabun428">変更別紙!#REF!</definedName>
    <definedName name="belugabun429">変更別紙!#REF!</definedName>
    <definedName name="belugabun430">変更別紙!#REF!</definedName>
    <definedName name="belugabun431">変更別紙!#REF!</definedName>
    <definedName name="belugabun432">変更別紙!#REF!</definedName>
    <definedName name="belugabun433">変更別紙!#REF!</definedName>
    <definedName name="belugabun434">変更別紙!#REF!</definedName>
    <definedName name="belugabun435">変更別紙!#REF!</definedName>
    <definedName name="belugabun436">変更別紙!#REF!</definedName>
    <definedName name="belugabun437">変更別紙!#REF!</definedName>
    <definedName name="belugabun438">変更別紙!#REF!</definedName>
    <definedName name="belugabun439">変更別紙!#REF!</definedName>
    <definedName name="belugabun440">変更別紙!#REF!</definedName>
    <definedName name="belugabun441">変更別紙!#REF!</definedName>
    <definedName name="belugabun442">変更別紙!#REF!</definedName>
    <definedName name="belugabun443">変更別紙!#REF!</definedName>
    <definedName name="belugabun444">変更別紙!#REF!</definedName>
    <definedName name="belugabun445">変更別紙!#REF!</definedName>
    <definedName name="belugabun446">変更別紙!#REF!</definedName>
    <definedName name="belugabun447">変更別紙!#REF!</definedName>
    <definedName name="belugabun448">変更別紙!#REF!</definedName>
    <definedName name="belugabun449">変更別紙!#REF!</definedName>
    <definedName name="belugabun450">変更別紙!#REF!</definedName>
    <definedName name="belugabun451">変更別紙!#REF!</definedName>
    <definedName name="belugabun452">変更別紙!#REF!</definedName>
    <definedName name="belugabun453">変更別紙!#REF!</definedName>
    <definedName name="belugabun454">変更別紙!#REF!</definedName>
    <definedName name="belugabun455">変更別紙!#REF!</definedName>
    <definedName name="belugabun456">変更別紙!#REF!</definedName>
    <definedName name="belugabun457">変更別紙!#REF!</definedName>
    <definedName name="belugabun458">変更別紙!#REF!</definedName>
    <definedName name="belugabun459">変更別紙!#REF!</definedName>
    <definedName name="belugabun460">変更別紙!#REF!</definedName>
    <definedName name="belugabun461">変更別紙!#REF!</definedName>
    <definedName name="belugabun462">変更別紙!#REF!</definedName>
    <definedName name="belugabun463">変更別紙!#REF!</definedName>
    <definedName name="belugabun464">変更別紙!#REF!</definedName>
    <definedName name="belugabun465">変更別紙!#REF!</definedName>
    <definedName name="belugabun466">変更別紙!#REF!</definedName>
    <definedName name="belugabun467">変更別紙!#REF!</definedName>
    <definedName name="belugabun468">変更別紙!#REF!</definedName>
    <definedName name="belugabun469">変更別紙!#REF!</definedName>
    <definedName name="belugabun470">変更別紙!#REF!</definedName>
    <definedName name="belugabun471">変更別紙!#REF!</definedName>
    <definedName name="belugabun472">変更別紙!#REF!</definedName>
    <definedName name="belugabun473">変更別紙!#REF!</definedName>
    <definedName name="belugabun474">変更別紙!#REF!</definedName>
    <definedName name="belugabun475">変更別紙!#REF!</definedName>
    <definedName name="belugabun476">変更別紙!#REF!</definedName>
    <definedName name="belugabun477">変更別紙!#REF!</definedName>
    <definedName name="belugabun478">変更別紙!#REF!</definedName>
    <definedName name="belugabun479">変更別紙!#REF!</definedName>
    <definedName name="belugabun480">変更別紙!#REF!</definedName>
    <definedName name="belugabun481">変更別紙!#REF!</definedName>
    <definedName name="belugabun482">変更別紙!#REF!</definedName>
    <definedName name="belugabun483">変更別紙!#REF!</definedName>
    <definedName name="belugabun484">変更別紙!#REF!</definedName>
    <definedName name="belugabun485">変更別紙!#REF!</definedName>
    <definedName name="belugabun486">変更別紙!#REF!</definedName>
    <definedName name="belugabun487">変更別紙!#REF!</definedName>
    <definedName name="belugabun488">変更別紙!#REF!</definedName>
    <definedName name="belugabun489">変更別紙!#REF!</definedName>
    <definedName name="belugabun490">変更別紙!#REF!</definedName>
    <definedName name="belugabun491">変更別紙!#REF!</definedName>
    <definedName name="belugabun492">変更別紙!#REF!</definedName>
    <definedName name="belugabun493">変更別紙!#REF!</definedName>
    <definedName name="belugabun494">変更別紙!#REF!</definedName>
    <definedName name="belugabun495">変更別紙!#REF!</definedName>
    <definedName name="belugabun496">変更別紙!#REF!</definedName>
    <definedName name="belugabun497">変更別紙!#REF!</definedName>
    <definedName name="belugabun498">変更別紙!#REF!</definedName>
    <definedName name="belugabun499">変更別紙!#REF!</definedName>
    <definedName name="belugabun500">変更別紙!#REF!</definedName>
    <definedName name="belugabunyn001">変更別紙!$K$13</definedName>
    <definedName name="belugabunyn002">変更別紙!$K$14</definedName>
    <definedName name="belugabunyn003">変更別紙!$K$15</definedName>
    <definedName name="belugabunyn004">変更別紙!$K$16</definedName>
    <definedName name="belugabunyn005">変更別紙!$K$17</definedName>
    <definedName name="belugabunyn006">変更別紙!$K$18</definedName>
    <definedName name="belugabunyn007">変更別紙!$K$19</definedName>
    <definedName name="belugabunyn008">変更別紙!$K$20</definedName>
    <definedName name="belugabunyn009">変更別紙!$K$21</definedName>
    <definedName name="belugabunyn010">変更別紙!$K$22</definedName>
    <definedName name="belugabunyn011">変更別紙!$K$23</definedName>
    <definedName name="belugabunyn012">変更別紙!$K$24</definedName>
    <definedName name="belugabunyn013">変更別紙!$K$25</definedName>
    <definedName name="belugabunyn014">変更別紙!$K$26</definedName>
    <definedName name="belugabunyn015">変更別紙!$K$27</definedName>
    <definedName name="belugabunyn016">変更別紙!$K$28</definedName>
    <definedName name="belugabunyn017">変更別紙!$K$29</definedName>
    <definedName name="belugabunyn018">変更別紙!$K$30</definedName>
    <definedName name="belugabunyn019">変更別紙!$K$31</definedName>
    <definedName name="belugabunyn020">変更別紙!$K$32</definedName>
    <definedName name="belugabunyn021">変更別紙!$K$33</definedName>
    <definedName name="belugabunyn022">変更別紙!$K$34</definedName>
    <definedName name="belugabunyn023">変更別紙!$K$35</definedName>
    <definedName name="belugabunyn024">変更別紙!$K$36</definedName>
    <definedName name="belugabunyn025">変更別紙!$K$37</definedName>
    <definedName name="belugabunyn026">変更別紙!$K$38</definedName>
    <definedName name="belugabunyn027">変更別紙!$K$39</definedName>
    <definedName name="belugabunyn028">変更別紙!$K$40</definedName>
    <definedName name="belugabunyn029">変更別紙!$K$41</definedName>
    <definedName name="belugabunyn030">変更別紙!$K$42</definedName>
    <definedName name="belugabunyn031">変更別紙!$K$43</definedName>
    <definedName name="belugabunyn032">変更別紙!$K$44</definedName>
    <definedName name="belugabunyn033">変更別紙!$K$45</definedName>
    <definedName name="belugabunyn034">変更別紙!$K$46</definedName>
    <definedName name="belugabunyn035">変更別紙!$K$47</definedName>
    <definedName name="belugabunyn036">変更別紙!$K$48</definedName>
    <definedName name="belugabunyn037">変更別紙!$K$49</definedName>
    <definedName name="belugabunyn038">変更別紙!$K$50</definedName>
    <definedName name="belugabunyn039">変更別紙!$K$51</definedName>
    <definedName name="belugabunyn040">変更別紙!$K$52</definedName>
    <definedName name="belugabunyn041">変更別紙!$K$53</definedName>
    <definedName name="belugabunyn042">変更別紙!$K$54</definedName>
    <definedName name="belugabunyn043">変更別紙!$K$55</definedName>
    <definedName name="belugabunyn044">変更別紙!$K$56</definedName>
    <definedName name="belugabunyn045">変更別紙!$K$57</definedName>
    <definedName name="belugabunyn046">変更別紙!$K$58</definedName>
    <definedName name="belugabunyn047">変更別紙!$K$59</definedName>
    <definedName name="belugabunyn048">変更別紙!$K$60</definedName>
    <definedName name="belugabunyn049">変更別紙!$K$61</definedName>
    <definedName name="belugabunyn050">変更別紙!$K$62</definedName>
    <definedName name="belugabunyn051">変更別紙!$K$63</definedName>
    <definedName name="belugabunyn052">変更別紙!$K$64</definedName>
    <definedName name="belugabunyn053">変更別紙!$K$65</definedName>
    <definedName name="belugabunyn054">変更別紙!$K$66</definedName>
    <definedName name="belugabunyn055">変更別紙!$K$67</definedName>
    <definedName name="belugabunyn056">変更別紙!$K$68</definedName>
    <definedName name="belugabunyn057">変更別紙!$K$69</definedName>
    <definedName name="belugabunyn058">変更別紙!$K$70</definedName>
    <definedName name="belugabunyn059">変更別紙!$K$71</definedName>
    <definedName name="belugabunyn060">変更別紙!$K$72</definedName>
    <definedName name="belugabunyn061">変更別紙!$K$73</definedName>
    <definedName name="belugabunyn062">変更別紙!$K$74</definedName>
    <definedName name="belugabunyn063">変更別紙!$K$75</definedName>
    <definedName name="belugabunyn064">変更別紙!$K$76</definedName>
    <definedName name="belugabunyn065">変更別紙!$K$77</definedName>
    <definedName name="belugabunyn066">変更別紙!$K$78</definedName>
    <definedName name="belugabunyn067">変更別紙!$K$79</definedName>
    <definedName name="belugabunyn068">変更別紙!$K$80</definedName>
    <definedName name="belugabunyn069">変更別紙!$K$81</definedName>
    <definedName name="belugabunyn070">変更別紙!$K$82</definedName>
    <definedName name="belugabunyn071">変更別紙!$K$83</definedName>
    <definedName name="belugabunyn072">変更別紙!$K$84</definedName>
    <definedName name="belugabunyn073">変更別紙!$K$85</definedName>
    <definedName name="belugabunyn074">変更別紙!$K$86</definedName>
    <definedName name="belugabunyn075">変更別紙!$K$87</definedName>
    <definedName name="belugabunyn076">変更別紙!$K$88</definedName>
    <definedName name="belugabunyn077">変更別紙!$K$89</definedName>
    <definedName name="belugabunyn078">変更別紙!$K$90</definedName>
    <definedName name="belugabunyn079">変更別紙!$K$91</definedName>
    <definedName name="belugabunyn080">変更別紙!$K$92</definedName>
    <definedName name="belugabunyn081">変更別紙!$K$93</definedName>
    <definedName name="belugabunyn082">変更別紙!$K$94</definedName>
    <definedName name="belugabunyn083">変更別紙!$K$95</definedName>
    <definedName name="belugabunyn084">変更別紙!$K$96</definedName>
    <definedName name="belugabunyn085">変更別紙!$K$97</definedName>
    <definedName name="belugabunyn086">変更別紙!$K$98</definedName>
    <definedName name="belugabunyn087">変更別紙!$K$99</definedName>
    <definedName name="belugabunyn088">変更別紙!$K$100</definedName>
    <definedName name="belugabunyn089">変更別紙!$K$101</definedName>
    <definedName name="belugabunyn090">変更別紙!$K$102</definedName>
    <definedName name="belugabunyn091">変更別紙!$K$103</definedName>
    <definedName name="belugabunyn092">変更別紙!$K$104</definedName>
    <definedName name="belugabunyn093">変更別紙!$K$105</definedName>
    <definedName name="belugabunyn094">変更別紙!$K$106</definedName>
    <definedName name="belugabunyn095">変更別紙!$K$107</definedName>
    <definedName name="belugabunyn096">変更別紙!$K$108</definedName>
    <definedName name="belugabunyn097">変更別紙!$K$109</definedName>
    <definedName name="belugabunyn098">変更別紙!$K$110</definedName>
    <definedName name="belugabunyn099">変更別紙!$K$111</definedName>
    <definedName name="belugabunyn100">変更別紙!$K$112</definedName>
    <definedName name="belugabunyn101">変更別紙!$K$113</definedName>
    <definedName name="belugabunyn102">変更別紙!$K$114</definedName>
    <definedName name="belugabunyn103">変更別紙!$K$115</definedName>
    <definedName name="belugabunyn104">変更別紙!$K$116</definedName>
    <definedName name="belugabunyn105">変更別紙!$K$117</definedName>
    <definedName name="belugabunyn106">変更別紙!$K$118</definedName>
    <definedName name="belugabunyn107">変更別紙!$K$119</definedName>
    <definedName name="belugabunyn108">変更別紙!$K$120</definedName>
    <definedName name="belugabunyn109">変更別紙!$K$121</definedName>
    <definedName name="belugabunyn110">変更別紙!$K$122</definedName>
    <definedName name="belugabunyn111">変更別紙!$K$123</definedName>
    <definedName name="belugabunyn112">変更別紙!$K$124</definedName>
    <definedName name="belugabunyn113">変更別紙!$K$125</definedName>
    <definedName name="belugabunyn114">変更別紙!$K$126</definedName>
    <definedName name="belugabunyn115">変更別紙!$K$127</definedName>
    <definedName name="belugabunyn116">変更別紙!$K$128</definedName>
    <definedName name="belugabunyn117">変更別紙!$K$129</definedName>
    <definedName name="belugabunyn118">変更別紙!$K$130</definedName>
    <definedName name="belugabunyn119">変更別紙!$K$131</definedName>
    <definedName name="belugabunyn120">変更別紙!$K$132</definedName>
    <definedName name="belugabunyn121">変更別紙!$K$133</definedName>
    <definedName name="belugabunyn122">変更別紙!$K$134</definedName>
    <definedName name="belugabunyn123">変更別紙!$K$135</definedName>
    <definedName name="belugabunyn124">変更別紙!$K$136</definedName>
    <definedName name="belugabunyn125">変更別紙!$K$137</definedName>
    <definedName name="belugabunyn126">変更別紙!$K$138</definedName>
    <definedName name="belugabunyn127">変更別紙!$K$139</definedName>
    <definedName name="belugabunyn128">変更別紙!$K$140</definedName>
    <definedName name="belugabunyn129">変更別紙!$K$141</definedName>
    <definedName name="belugabunyn130">変更別紙!$K$142</definedName>
    <definedName name="belugabunyn131">変更別紙!$K$143</definedName>
    <definedName name="belugabunyn132">変更別紙!$K$144</definedName>
    <definedName name="belugabunyn133">変更別紙!$K$145</definedName>
    <definedName name="belugabunyn134">変更別紙!$K$146</definedName>
    <definedName name="belugabunyn135">変更別紙!$K$147</definedName>
    <definedName name="belugabunyn136">変更別紙!$K$148</definedName>
    <definedName name="belugabunyn137">変更別紙!$K$149</definedName>
    <definedName name="belugabunyn138">変更別紙!$K$150</definedName>
    <definedName name="belugabunyn139">変更別紙!$K$151</definedName>
    <definedName name="belugabunyn140">変更別紙!$K$152</definedName>
    <definedName name="belugabunyn141">変更別紙!$K$153</definedName>
    <definedName name="belugabunyn142">変更別紙!$K$154</definedName>
    <definedName name="belugabunyn143">変更別紙!$K$155</definedName>
    <definedName name="belugabunyn144">変更別紙!$K$156</definedName>
    <definedName name="belugabunyn145">変更別紙!$K$157</definedName>
    <definedName name="belugabunyn146">変更別紙!$K$158</definedName>
    <definedName name="belugabunyn147">変更別紙!$K$159</definedName>
    <definedName name="belugabunyn148">変更別紙!$K$160</definedName>
    <definedName name="belugabunyn149">変更別紙!$K$161</definedName>
    <definedName name="belugabunyn150">変更別紙!$K$162</definedName>
    <definedName name="belugabunyn151">変更別紙!$K$163</definedName>
    <definedName name="belugabunyn152">変更別紙!$K$164</definedName>
    <definedName name="belugabunyn153">変更別紙!$K$165</definedName>
    <definedName name="belugabunyn154">変更別紙!$K$166</definedName>
    <definedName name="belugabunyn155">変更別紙!$K$167</definedName>
    <definedName name="belugabunyn156">変更別紙!$K$168</definedName>
    <definedName name="belugabunyn157">変更別紙!$K$169</definedName>
    <definedName name="belugabunyn158">変更別紙!$K$170</definedName>
    <definedName name="belugabunyn159">変更別紙!$K$171</definedName>
    <definedName name="belugabunyn160">変更別紙!$K$172</definedName>
    <definedName name="belugabunyn161">変更別紙!$K$173</definedName>
    <definedName name="belugabunyn162">変更別紙!$K$174</definedName>
    <definedName name="belugabunyn163">変更別紙!$K$175</definedName>
    <definedName name="belugabunyn164">変更別紙!$K$176</definedName>
    <definedName name="belugabunyn165">変更別紙!$K$177</definedName>
    <definedName name="belugabunyn166">変更別紙!$K$178</definedName>
    <definedName name="belugabunyn167">変更別紙!$K$179</definedName>
    <definedName name="belugabunyn168">変更別紙!$K$180</definedName>
    <definedName name="belugabunyn169">変更別紙!$K$181</definedName>
    <definedName name="belugabunyn170">変更別紙!$K$182</definedName>
    <definedName name="belugabunyn171">変更別紙!$K$183</definedName>
    <definedName name="belugabunyn172">変更別紙!$K$184</definedName>
    <definedName name="belugabunyn173">変更別紙!$K$185</definedName>
    <definedName name="belugabunyn174">変更別紙!$K$186</definedName>
    <definedName name="belugabunyn175">変更別紙!$K$187</definedName>
    <definedName name="belugabunyn176">変更別紙!$K$188</definedName>
    <definedName name="belugabunyn177">変更別紙!$K$189</definedName>
    <definedName name="belugabunyn178">変更別紙!$K$190</definedName>
    <definedName name="belugabunyn179">変更別紙!$K$191</definedName>
    <definedName name="belugabunyn180">変更別紙!$K$192</definedName>
    <definedName name="belugabunyn181">変更別紙!$K$193</definedName>
    <definedName name="belugabunyn182">変更別紙!$K$194</definedName>
    <definedName name="belugabunyn183">変更別紙!$K$195</definedName>
    <definedName name="belugabunyn184">変更別紙!$K$196</definedName>
    <definedName name="belugabunyn185">変更別紙!$K$197</definedName>
    <definedName name="belugabunyn186">変更別紙!$K$198</definedName>
    <definedName name="belugabunyn187">変更別紙!$K$199</definedName>
    <definedName name="belugabunyn188">変更別紙!$K$200</definedName>
    <definedName name="belugabunyn189">変更別紙!$K$201</definedName>
    <definedName name="belugabunyn190">変更別紙!$K$202</definedName>
    <definedName name="belugabunyn191">変更別紙!$K$203</definedName>
    <definedName name="belugabunyn192">変更別紙!$K$204</definedName>
    <definedName name="belugabunyn193">変更別紙!$K$205</definedName>
    <definedName name="belugabunyn194">変更別紙!$K$206</definedName>
    <definedName name="belugabunyn195">変更別紙!$K$207</definedName>
    <definedName name="belugabunyn196">変更別紙!$K$208</definedName>
    <definedName name="belugabunyn197">変更別紙!$K$209</definedName>
    <definedName name="belugabunyn198">変更別紙!$K$210</definedName>
    <definedName name="belugabunyn199">変更別紙!$K$211</definedName>
    <definedName name="belugabunyn200">変更別紙!$K$212</definedName>
    <definedName name="belugabunyn201">変更別紙!$K$213</definedName>
    <definedName name="belugabunyn202">変更別紙!$K$214</definedName>
    <definedName name="belugabunyn203">変更別紙!$K$215</definedName>
    <definedName name="belugabunyn204">変更別紙!$K$216</definedName>
    <definedName name="belugabunyn205">変更別紙!$K$217</definedName>
    <definedName name="belugabunyn206">変更別紙!$K$218</definedName>
    <definedName name="belugabunyn207">変更別紙!$K$219</definedName>
    <definedName name="belugabunyn208">変更別紙!$K$220</definedName>
    <definedName name="belugabunyn209">変更別紙!$K$221</definedName>
    <definedName name="belugabunyn210">変更別紙!$K$222</definedName>
    <definedName name="belugabunyn211">変更別紙!$K$223</definedName>
    <definedName name="belugabunyn212">変更別紙!$K$224</definedName>
    <definedName name="belugabunyn213">変更別紙!$K$225</definedName>
    <definedName name="belugabunyn214">変更別紙!$K$226</definedName>
    <definedName name="belugabunyn215">変更別紙!$K$227</definedName>
    <definedName name="belugabunyn216">変更別紙!$K$228</definedName>
    <definedName name="belugabunyn217">変更別紙!$K$229</definedName>
    <definedName name="belugabunyn218">変更別紙!$K$230</definedName>
    <definedName name="belugabunyn219">変更別紙!$K$231</definedName>
    <definedName name="belugabunyn220">変更別紙!$K$232</definedName>
    <definedName name="belugabunyn221">変更別紙!$K$233</definedName>
    <definedName name="belugabunyn222">変更別紙!$K$234</definedName>
    <definedName name="belugabunyn223">変更別紙!$K$235</definedName>
    <definedName name="belugabunyn224">変更別紙!$K$236</definedName>
    <definedName name="belugabunyn225">変更別紙!$K$237</definedName>
    <definedName name="belugabunyn226">変更別紙!$K$238</definedName>
    <definedName name="belugabunyn227">変更別紙!$K$239</definedName>
    <definedName name="belugabunyn228">変更別紙!$K$240</definedName>
    <definedName name="belugabunyn229">変更別紙!$K$241</definedName>
    <definedName name="belugabunyn230">変更別紙!$K$242</definedName>
    <definedName name="belugabunyn231">変更別紙!$K$243</definedName>
    <definedName name="belugabunyn232">変更別紙!$K$244</definedName>
    <definedName name="belugabunyn233">変更別紙!$K$245</definedName>
    <definedName name="belugabunyn234">変更別紙!$K$246</definedName>
    <definedName name="belugabunyn235">変更別紙!$K$247</definedName>
    <definedName name="belugabunyn236">変更別紙!$K$248</definedName>
    <definedName name="belugabunyn237">変更別紙!$K$249</definedName>
    <definedName name="belugabunyn238">変更別紙!$K$250</definedName>
    <definedName name="belugabunyn239">変更別紙!$K$251</definedName>
    <definedName name="belugabunyn240">変更別紙!$K$252</definedName>
    <definedName name="belugabunyn241">変更別紙!$K$253</definedName>
    <definedName name="belugabunyn242">変更別紙!$K$254</definedName>
    <definedName name="belugabunyn243">変更別紙!$K$255</definedName>
    <definedName name="belugabunyn244">変更別紙!$K$256</definedName>
    <definedName name="belugabunyn245">変更別紙!$K$257</definedName>
    <definedName name="belugabunyn246">変更別紙!$K$258</definedName>
    <definedName name="belugabunyn247">変更別紙!$K$259</definedName>
    <definedName name="belugabunyn248">変更別紙!$K$260</definedName>
    <definedName name="belugabunyn249">変更別紙!$K$261</definedName>
    <definedName name="belugabunyn250">変更別紙!$K$262</definedName>
    <definedName name="belugabunyn251">変更別紙!#REF!</definedName>
    <definedName name="belugabunyn252">変更別紙!#REF!</definedName>
    <definedName name="belugabunyn253">変更別紙!#REF!</definedName>
    <definedName name="belugabunyn254">変更別紙!#REF!</definedName>
    <definedName name="belugabunyn255">変更別紙!#REF!</definedName>
    <definedName name="belugabunyn256">変更別紙!#REF!</definedName>
    <definedName name="belugabunyn257">変更別紙!#REF!</definedName>
    <definedName name="belugabunyn258">変更別紙!#REF!</definedName>
    <definedName name="belugabunyn259">変更別紙!#REF!</definedName>
    <definedName name="belugabunyn260">変更別紙!#REF!</definedName>
    <definedName name="belugabunyn261">変更別紙!#REF!</definedName>
    <definedName name="belugabunyn262">変更別紙!#REF!</definedName>
    <definedName name="belugabunyn263">変更別紙!#REF!</definedName>
    <definedName name="belugabunyn264">変更別紙!#REF!</definedName>
    <definedName name="belugabunyn265">変更別紙!#REF!</definedName>
    <definedName name="belugabunyn266">変更別紙!#REF!</definedName>
    <definedName name="belugabunyn267">変更別紙!#REF!</definedName>
    <definedName name="belugabunyn268">変更別紙!#REF!</definedName>
    <definedName name="belugabunyn269">変更別紙!#REF!</definedName>
    <definedName name="belugabunyn270">変更別紙!#REF!</definedName>
    <definedName name="belugabunyn271">変更別紙!#REF!</definedName>
    <definedName name="belugabunyn272">変更別紙!#REF!</definedName>
    <definedName name="belugabunyn273">変更別紙!#REF!</definedName>
    <definedName name="belugabunyn274">変更別紙!#REF!</definedName>
    <definedName name="belugabunyn275">変更別紙!#REF!</definedName>
    <definedName name="belugabunyn276">変更別紙!#REF!</definedName>
    <definedName name="belugabunyn277">変更別紙!#REF!</definedName>
    <definedName name="belugabunyn278">変更別紙!#REF!</definedName>
    <definedName name="belugabunyn279">変更別紙!#REF!</definedName>
    <definedName name="belugabunyn280">変更別紙!#REF!</definedName>
    <definedName name="belugabunyn281">変更別紙!#REF!</definedName>
    <definedName name="belugabunyn282">変更別紙!#REF!</definedName>
    <definedName name="belugabunyn283">変更別紙!#REF!</definedName>
    <definedName name="belugabunyn284">変更別紙!#REF!</definedName>
    <definedName name="belugabunyn285">変更別紙!#REF!</definedName>
    <definedName name="belugabunyn286">変更別紙!#REF!</definedName>
    <definedName name="belugabunyn287">変更別紙!#REF!</definedName>
    <definedName name="belugabunyn288">変更別紙!#REF!</definedName>
    <definedName name="belugabunyn289">変更別紙!#REF!</definedName>
    <definedName name="belugabunyn290">変更別紙!#REF!</definedName>
    <definedName name="belugabunyn291">変更別紙!#REF!</definedName>
    <definedName name="belugabunyn292">変更別紙!#REF!</definedName>
    <definedName name="belugabunyn293">変更別紙!#REF!</definedName>
    <definedName name="belugabunyn294">変更別紙!#REF!</definedName>
    <definedName name="belugabunyn295">変更別紙!#REF!</definedName>
    <definedName name="belugabunyn296">変更別紙!#REF!</definedName>
    <definedName name="belugabunyn297">変更別紙!#REF!</definedName>
    <definedName name="belugabunyn298">変更別紙!#REF!</definedName>
    <definedName name="belugabunyn299">変更別紙!#REF!</definedName>
    <definedName name="belugabunyn300">変更別紙!#REF!</definedName>
    <definedName name="belugabunyn301">変更別紙!#REF!</definedName>
    <definedName name="belugabunyn302">変更別紙!#REF!</definedName>
    <definedName name="belugabunyn303">変更別紙!#REF!</definedName>
    <definedName name="belugabunyn304">変更別紙!#REF!</definedName>
    <definedName name="belugabunyn305">変更別紙!#REF!</definedName>
    <definedName name="belugabunyn306">変更別紙!#REF!</definedName>
    <definedName name="belugabunyn307">変更別紙!#REF!</definedName>
    <definedName name="belugabunyn308">変更別紙!#REF!</definedName>
    <definedName name="belugabunyn309">変更別紙!#REF!</definedName>
    <definedName name="belugabunyn310">変更別紙!#REF!</definedName>
    <definedName name="belugabunyn311">変更別紙!#REF!</definedName>
    <definedName name="belugabunyn312">変更別紙!#REF!</definedName>
    <definedName name="belugabunyn313">変更別紙!#REF!</definedName>
    <definedName name="belugabunyn314">変更別紙!#REF!</definedName>
    <definedName name="belugabunyn315">変更別紙!#REF!</definedName>
    <definedName name="belugabunyn316">変更別紙!#REF!</definedName>
    <definedName name="belugabunyn317">変更別紙!#REF!</definedName>
    <definedName name="belugabunyn318">変更別紙!#REF!</definedName>
    <definedName name="belugabunyn319">変更別紙!#REF!</definedName>
    <definedName name="belugabunyn320">変更別紙!#REF!</definedName>
    <definedName name="belugabunyn321">変更別紙!#REF!</definedName>
    <definedName name="belugabunyn322">変更別紙!#REF!</definedName>
    <definedName name="belugabunyn323">変更別紙!#REF!</definedName>
    <definedName name="belugabunyn324">変更別紙!#REF!</definedName>
    <definedName name="belugabunyn325">変更別紙!#REF!</definedName>
    <definedName name="belugabunyn326">変更別紙!#REF!</definedName>
    <definedName name="belugabunyn327">変更別紙!#REF!</definedName>
    <definedName name="belugabunyn328">変更別紙!#REF!</definedName>
    <definedName name="belugabunyn329">変更別紙!#REF!</definedName>
    <definedName name="belugabunyn330">変更別紙!#REF!</definedName>
    <definedName name="belugabunyn331">変更別紙!#REF!</definedName>
    <definedName name="belugabunyn332">変更別紙!#REF!</definedName>
    <definedName name="belugabunyn333">変更別紙!#REF!</definedName>
    <definedName name="belugabunyn334">変更別紙!#REF!</definedName>
    <definedName name="belugabunyn335">変更別紙!#REF!</definedName>
    <definedName name="belugabunyn336">変更別紙!#REF!</definedName>
    <definedName name="belugabunyn337">変更別紙!#REF!</definedName>
    <definedName name="belugabunyn338">変更別紙!#REF!</definedName>
    <definedName name="belugabunyn339">変更別紙!#REF!</definedName>
    <definedName name="belugabunyn340">変更別紙!#REF!</definedName>
    <definedName name="belugabunyn341">変更別紙!#REF!</definedName>
    <definedName name="belugabunyn342">変更別紙!#REF!</definedName>
    <definedName name="belugabunyn343">変更別紙!#REF!</definedName>
    <definedName name="belugabunyn344">変更別紙!#REF!</definedName>
    <definedName name="belugabunyn345">変更別紙!#REF!</definedName>
    <definedName name="belugabunyn346">変更別紙!#REF!</definedName>
    <definedName name="belugabunyn347">変更別紙!#REF!</definedName>
    <definedName name="belugabunyn348">変更別紙!#REF!</definedName>
    <definedName name="belugabunyn349">変更別紙!#REF!</definedName>
    <definedName name="belugabunyn350">変更別紙!#REF!</definedName>
    <definedName name="belugabunyn351">変更別紙!#REF!</definedName>
    <definedName name="belugabunyn352">変更別紙!#REF!</definedName>
    <definedName name="belugabunyn353">変更別紙!#REF!</definedName>
    <definedName name="belugabunyn354">変更別紙!#REF!</definedName>
    <definedName name="belugabunyn355">変更別紙!#REF!</definedName>
    <definedName name="belugabunyn356">変更別紙!#REF!</definedName>
    <definedName name="belugabunyn357">変更別紙!#REF!</definedName>
    <definedName name="belugabunyn358">変更別紙!#REF!</definedName>
    <definedName name="belugabunyn359">変更別紙!#REF!</definedName>
    <definedName name="belugabunyn360">変更別紙!#REF!</definedName>
    <definedName name="belugabunyn361">変更別紙!#REF!</definedName>
    <definedName name="belugabunyn362">変更別紙!#REF!</definedName>
    <definedName name="belugabunyn363">変更別紙!#REF!</definedName>
    <definedName name="belugabunyn364">変更別紙!#REF!</definedName>
    <definedName name="belugabunyn365">変更別紙!#REF!</definedName>
    <definedName name="belugabunyn366">変更別紙!#REF!</definedName>
    <definedName name="belugabunyn367">変更別紙!#REF!</definedName>
    <definedName name="belugabunyn368">変更別紙!#REF!</definedName>
    <definedName name="belugabunyn369">変更別紙!#REF!</definedName>
    <definedName name="belugabunyn370">変更別紙!#REF!</definedName>
    <definedName name="belugabunyn371">変更別紙!#REF!</definedName>
    <definedName name="belugabunyn372">変更別紙!#REF!</definedName>
    <definedName name="belugabunyn373">変更別紙!#REF!</definedName>
    <definedName name="belugabunyn374">変更別紙!#REF!</definedName>
    <definedName name="belugabunyn375">変更別紙!#REF!</definedName>
    <definedName name="belugabunyn376">変更別紙!#REF!</definedName>
    <definedName name="belugabunyn377">変更別紙!#REF!</definedName>
    <definedName name="belugabunyn378">変更別紙!#REF!</definedName>
    <definedName name="belugabunyn379">変更別紙!#REF!</definedName>
    <definedName name="belugabunyn380">変更別紙!#REF!</definedName>
    <definedName name="belugabunyn381">変更別紙!#REF!</definedName>
    <definedName name="belugabunyn382">変更別紙!#REF!</definedName>
    <definedName name="belugabunyn383">変更別紙!#REF!</definedName>
    <definedName name="belugabunyn384">変更別紙!#REF!</definedName>
    <definedName name="belugabunyn385">変更別紙!#REF!</definedName>
    <definedName name="belugabunyn386">変更別紙!#REF!</definedName>
    <definedName name="belugabunyn387">変更別紙!#REF!</definedName>
    <definedName name="belugabunyn388">変更別紙!#REF!</definedName>
    <definedName name="belugabunyn389">変更別紙!#REF!</definedName>
    <definedName name="belugabunyn390">変更別紙!#REF!</definedName>
    <definedName name="belugabunyn391">変更別紙!#REF!</definedName>
    <definedName name="belugabunyn392">変更別紙!#REF!</definedName>
    <definedName name="belugabunyn393">変更別紙!#REF!</definedName>
    <definedName name="belugabunyn394">変更別紙!#REF!</definedName>
    <definedName name="belugabunyn395">変更別紙!#REF!</definedName>
    <definedName name="belugabunyn396">変更別紙!#REF!</definedName>
    <definedName name="belugabunyn397">変更別紙!#REF!</definedName>
    <definedName name="belugabunyn398">変更別紙!#REF!</definedName>
    <definedName name="belugabunyn399">変更別紙!#REF!</definedName>
    <definedName name="belugabunyn400">変更別紙!#REF!</definedName>
    <definedName name="belugabunyn401">変更別紙!#REF!</definedName>
    <definedName name="belugabunyn402">変更別紙!#REF!</definedName>
    <definedName name="belugabunyn403">変更別紙!#REF!</definedName>
    <definedName name="belugabunyn404">変更別紙!#REF!</definedName>
    <definedName name="belugabunyn405">変更別紙!#REF!</definedName>
    <definedName name="belugabunyn406">変更別紙!#REF!</definedName>
    <definedName name="belugabunyn407">変更別紙!#REF!</definedName>
    <definedName name="belugabunyn408">変更別紙!#REF!</definedName>
    <definedName name="belugabunyn409">変更別紙!#REF!</definedName>
    <definedName name="belugabunyn410">変更別紙!#REF!</definedName>
    <definedName name="belugabunyn411">変更別紙!#REF!</definedName>
    <definedName name="belugabunyn412">変更別紙!#REF!</definedName>
    <definedName name="belugabunyn413">変更別紙!#REF!</definedName>
    <definedName name="belugabunyn414">変更別紙!#REF!</definedName>
    <definedName name="belugabunyn415">変更別紙!#REF!</definedName>
    <definedName name="belugabunyn416">変更別紙!#REF!</definedName>
    <definedName name="belugabunyn417">変更別紙!#REF!</definedName>
    <definedName name="belugabunyn418">変更別紙!#REF!</definedName>
    <definedName name="belugabunyn419">変更別紙!#REF!</definedName>
    <definedName name="belugabunyn420">変更別紙!#REF!</definedName>
    <definedName name="belugabunyn421">変更別紙!#REF!</definedName>
    <definedName name="belugabunyn422">変更別紙!#REF!</definedName>
    <definedName name="belugabunyn423">変更別紙!#REF!</definedName>
    <definedName name="belugabunyn424">変更別紙!#REF!</definedName>
    <definedName name="belugabunyn425">変更別紙!#REF!</definedName>
    <definedName name="belugabunyn426">変更別紙!#REF!</definedName>
    <definedName name="belugabunyn427">変更別紙!#REF!</definedName>
    <definedName name="belugabunyn428">変更別紙!#REF!</definedName>
    <definedName name="belugabunyn429">変更別紙!#REF!</definedName>
    <definedName name="belugabunyn430">変更別紙!#REF!</definedName>
    <definedName name="belugabunyn431">変更別紙!#REF!</definedName>
    <definedName name="belugabunyn432">変更別紙!#REF!</definedName>
    <definedName name="belugabunyn433">変更別紙!#REF!</definedName>
    <definedName name="belugabunyn434">変更別紙!#REF!</definedName>
    <definedName name="belugabunyn435">変更別紙!#REF!</definedName>
    <definedName name="belugabunyn436">変更別紙!#REF!</definedName>
    <definedName name="belugabunyn437">変更別紙!#REF!</definedName>
    <definedName name="belugabunyn438">変更別紙!#REF!</definedName>
    <definedName name="belugabunyn439">変更別紙!#REF!</definedName>
    <definedName name="belugabunyn440">変更別紙!#REF!</definedName>
    <definedName name="belugabunyn441">変更別紙!#REF!</definedName>
    <definedName name="belugabunyn442">変更別紙!#REF!</definedName>
    <definedName name="belugabunyn443">変更別紙!#REF!</definedName>
    <definedName name="belugabunyn444">変更別紙!#REF!</definedName>
    <definedName name="belugabunyn445">変更別紙!#REF!</definedName>
    <definedName name="belugabunyn446">変更別紙!#REF!</definedName>
    <definedName name="belugabunyn447">変更別紙!#REF!</definedName>
    <definedName name="belugabunyn448">変更別紙!#REF!</definedName>
    <definedName name="belugabunyn449">変更別紙!#REF!</definedName>
    <definedName name="belugabunyn450">変更別紙!#REF!</definedName>
    <definedName name="belugabunyn451">変更別紙!#REF!</definedName>
    <definedName name="belugabunyn452">変更別紙!#REF!</definedName>
    <definedName name="belugabunyn453">変更別紙!#REF!</definedName>
    <definedName name="belugabunyn454">変更別紙!#REF!</definedName>
    <definedName name="belugabunyn455">変更別紙!#REF!</definedName>
    <definedName name="belugabunyn456">変更別紙!#REF!</definedName>
    <definedName name="belugabunyn457">変更別紙!#REF!</definedName>
    <definedName name="belugabunyn458">変更別紙!#REF!</definedName>
    <definedName name="belugabunyn459">変更別紙!#REF!</definedName>
    <definedName name="belugabunyn460">変更別紙!#REF!</definedName>
    <definedName name="belugabunyn461">変更別紙!#REF!</definedName>
    <definedName name="belugabunyn462">変更別紙!#REF!</definedName>
    <definedName name="belugabunyn463">変更別紙!#REF!</definedName>
    <definedName name="belugabunyn464">変更別紙!#REF!</definedName>
    <definedName name="belugabunyn465">変更別紙!#REF!</definedName>
    <definedName name="belugabunyn466">変更別紙!#REF!</definedName>
    <definedName name="belugabunyn467">変更別紙!#REF!</definedName>
    <definedName name="belugabunyn468">変更別紙!#REF!</definedName>
    <definedName name="belugabunyn469">変更別紙!#REF!</definedName>
    <definedName name="belugabunyn470">変更別紙!#REF!</definedName>
    <definedName name="belugabunyn471">変更別紙!#REF!</definedName>
    <definedName name="belugabunyn472">変更別紙!#REF!</definedName>
    <definedName name="belugabunyn473">変更別紙!#REF!</definedName>
    <definedName name="belugabunyn474">変更別紙!#REF!</definedName>
    <definedName name="belugabunyn475">変更別紙!#REF!</definedName>
    <definedName name="belugabunyn476">変更別紙!#REF!</definedName>
    <definedName name="belugabunyn477">変更別紙!#REF!</definedName>
    <definedName name="belugabunyn478">変更別紙!#REF!</definedName>
    <definedName name="belugabunyn479">変更別紙!#REF!</definedName>
    <definedName name="belugabunyn480">変更別紙!#REF!</definedName>
    <definedName name="belugabunyn481">変更別紙!#REF!</definedName>
    <definedName name="belugabunyn482">変更別紙!#REF!</definedName>
    <definedName name="belugabunyn483">変更別紙!#REF!</definedName>
    <definedName name="belugabunyn484">変更別紙!#REF!</definedName>
    <definedName name="belugabunyn485">変更別紙!#REF!</definedName>
    <definedName name="belugabunyn486">変更別紙!#REF!</definedName>
    <definedName name="belugabunyn487">変更別紙!#REF!</definedName>
    <definedName name="belugabunyn488">変更別紙!#REF!</definedName>
    <definedName name="belugabunyn489">変更別紙!#REF!</definedName>
    <definedName name="belugabunyn490">変更別紙!#REF!</definedName>
    <definedName name="belugabunyn491">変更別紙!#REF!</definedName>
    <definedName name="belugabunyn492">変更別紙!#REF!</definedName>
    <definedName name="belugabunyn493">変更別紙!#REF!</definedName>
    <definedName name="belugabunyn494">変更別紙!#REF!</definedName>
    <definedName name="belugabunyn495">変更別紙!#REF!</definedName>
    <definedName name="belugabunyn496">変更別紙!#REF!</definedName>
    <definedName name="belugabunyn497">変更別紙!#REF!</definedName>
    <definedName name="belugabunyn498">変更別紙!#REF!</definedName>
    <definedName name="belugabunyn499">変更別紙!#REF!</definedName>
    <definedName name="belugabunyn500">変更別紙!#REF!</definedName>
    <definedName name="billid001">変更別紙!$E$13</definedName>
    <definedName name="billid002">変更別紙!$E$14</definedName>
    <definedName name="billid003">変更別紙!$E$15</definedName>
    <definedName name="billid004">変更別紙!$E$16</definedName>
    <definedName name="billid005">変更別紙!$E$17</definedName>
    <definedName name="billid006">変更別紙!$E$18</definedName>
    <definedName name="billid007">変更別紙!$E$19</definedName>
    <definedName name="billid008">変更別紙!$E$20</definedName>
    <definedName name="billid009">変更別紙!$E$21</definedName>
    <definedName name="billid010">変更別紙!$E$22</definedName>
    <definedName name="billid011">変更別紙!$E$23</definedName>
    <definedName name="billid012">変更別紙!$E$24</definedName>
    <definedName name="billid013">変更別紙!$E$25</definedName>
    <definedName name="billid014">変更別紙!$E$26</definedName>
    <definedName name="billid015">変更別紙!$E$27</definedName>
    <definedName name="billid016">変更別紙!$E$28</definedName>
    <definedName name="billid017">変更別紙!$E$29</definedName>
    <definedName name="billid018">変更別紙!$E$30</definedName>
    <definedName name="billid019">変更別紙!$E$31</definedName>
    <definedName name="billid020">変更別紙!$E$32</definedName>
    <definedName name="billid021">変更別紙!$E$33</definedName>
    <definedName name="billid022">変更別紙!$E$34</definedName>
    <definedName name="billid023">変更別紙!$E$35</definedName>
    <definedName name="billid024">変更別紙!$E$36</definedName>
    <definedName name="billid025">変更別紙!$E$37</definedName>
    <definedName name="billid026">変更別紙!$E$38</definedName>
    <definedName name="billid027">変更別紙!$E$39</definedName>
    <definedName name="billid028">変更別紙!$E$40</definedName>
    <definedName name="billid029">変更別紙!$E$41</definedName>
    <definedName name="billid030">変更別紙!$E$42</definedName>
    <definedName name="billid031">変更別紙!$E$43</definedName>
    <definedName name="billid032">変更別紙!$E$44</definedName>
    <definedName name="billid033">変更別紙!$E$45</definedName>
    <definedName name="billid034">変更別紙!$E$46</definedName>
    <definedName name="billid035">変更別紙!$E$47</definedName>
    <definedName name="billid036">変更別紙!$E$48</definedName>
    <definedName name="billid037">変更別紙!$E$49</definedName>
    <definedName name="billid038">変更別紙!$E$50</definedName>
    <definedName name="billid039">変更別紙!$E$51</definedName>
    <definedName name="billid040">変更別紙!$E$52</definedName>
    <definedName name="billid041">変更別紙!$E$53</definedName>
    <definedName name="billid042">変更別紙!$E$54</definedName>
    <definedName name="billid043">変更別紙!$E$55</definedName>
    <definedName name="billid044">変更別紙!$E$56</definedName>
    <definedName name="billid045">変更別紙!$E$57</definedName>
    <definedName name="billid046">変更別紙!$E$58</definedName>
    <definedName name="billid047">変更別紙!$E$59</definedName>
    <definedName name="billid048">変更別紙!$E$60</definedName>
    <definedName name="billid049">変更別紙!$E$61</definedName>
    <definedName name="billid050">変更別紙!$E$62</definedName>
    <definedName name="billid051">変更別紙!$E$63</definedName>
    <definedName name="billid052">変更別紙!$E$64</definedName>
    <definedName name="billid053">変更別紙!$E$65</definedName>
    <definedName name="billid054">変更別紙!$E$66</definedName>
    <definedName name="billid055">変更別紙!$E$67</definedName>
    <definedName name="billid056">変更別紙!$E$68</definedName>
    <definedName name="billid057">変更別紙!$E$69</definedName>
    <definedName name="billid058">変更別紙!$E$70</definedName>
    <definedName name="billid059">変更別紙!$E$71</definedName>
    <definedName name="billid060">変更別紙!$E$72</definedName>
    <definedName name="billid061">変更別紙!$E$73</definedName>
    <definedName name="billid062">変更別紙!$E$74</definedName>
    <definedName name="billid063">変更別紙!$E$75</definedName>
    <definedName name="billid064">変更別紙!$E$76</definedName>
    <definedName name="billid065">変更別紙!$E$77</definedName>
    <definedName name="billid066">変更別紙!$E$78</definedName>
    <definedName name="billid067">変更別紙!$E$79</definedName>
    <definedName name="billid068">変更別紙!$E$80</definedName>
    <definedName name="billid069">変更別紙!$E$81</definedName>
    <definedName name="billid070">変更別紙!$E$82</definedName>
    <definedName name="billid071">変更別紙!$E$83</definedName>
    <definedName name="billid072">変更別紙!$E$84</definedName>
    <definedName name="billid073">変更別紙!$E$85</definedName>
    <definedName name="billid074">変更別紙!$E$86</definedName>
    <definedName name="billid075">変更別紙!$E$87</definedName>
    <definedName name="billid076">変更別紙!$E$88</definedName>
    <definedName name="billid077">変更別紙!$E$89</definedName>
    <definedName name="billid078">変更別紙!$E$90</definedName>
    <definedName name="billid079">変更別紙!$E$91</definedName>
    <definedName name="billid080">変更別紙!$E$92</definedName>
    <definedName name="billid081">変更別紙!$E$93</definedName>
    <definedName name="billid082">変更別紙!$E$94</definedName>
    <definedName name="billid083">変更別紙!$E$95</definedName>
    <definedName name="billid084">変更別紙!$E$96</definedName>
    <definedName name="billid085">変更別紙!$E$97</definedName>
    <definedName name="billid086">変更別紙!$E$98</definedName>
    <definedName name="billid087">変更別紙!$E$99</definedName>
    <definedName name="billid088">変更別紙!$E$100</definedName>
    <definedName name="billid089">変更別紙!$E$101</definedName>
    <definedName name="billid090">変更別紙!$E$102</definedName>
    <definedName name="billid091">変更別紙!$E$103</definedName>
    <definedName name="billid092">変更別紙!$E$104</definedName>
    <definedName name="billid093">変更別紙!$E$105</definedName>
    <definedName name="billid094">変更別紙!$E$106</definedName>
    <definedName name="billid095">変更別紙!$E$107</definedName>
    <definedName name="billid096">変更別紙!$E$108</definedName>
    <definedName name="billid097">変更別紙!$E$109</definedName>
    <definedName name="billid098">変更別紙!$E$110</definedName>
    <definedName name="billid099">変更別紙!$E$111</definedName>
    <definedName name="billid100">変更別紙!$E$112</definedName>
    <definedName name="billid101">変更別紙!$E$113</definedName>
    <definedName name="billid102">変更別紙!$E$114</definedName>
    <definedName name="billid103">変更別紙!$E$115</definedName>
    <definedName name="billid104">変更別紙!$E$116</definedName>
    <definedName name="billid105">変更別紙!$E$117</definedName>
    <definedName name="billid106">変更別紙!$E$118</definedName>
    <definedName name="billid107">変更別紙!$E$119</definedName>
    <definedName name="billid108">変更別紙!$E$120</definedName>
    <definedName name="billid109">変更別紙!$E$121</definedName>
    <definedName name="billid110">変更別紙!$E$122</definedName>
    <definedName name="billid111">変更別紙!$E$123</definedName>
    <definedName name="billid112">変更別紙!$E$124</definedName>
    <definedName name="billid113">変更別紙!$E$125</definedName>
    <definedName name="billid114">変更別紙!$E$126</definedName>
    <definedName name="billid115">変更別紙!$E$127</definedName>
    <definedName name="billid116">変更別紙!$E$128</definedName>
    <definedName name="billid117">変更別紙!$E$129</definedName>
    <definedName name="billid118">変更別紙!$E$130</definedName>
    <definedName name="billid119">変更別紙!$E$131</definedName>
    <definedName name="billid120">変更別紙!$E$132</definedName>
    <definedName name="billid121">変更別紙!$E$133</definedName>
    <definedName name="billid122">変更別紙!$E$134</definedName>
    <definedName name="billid123">変更別紙!$E$135</definedName>
    <definedName name="billid124">変更別紙!$E$136</definedName>
    <definedName name="billid125">変更別紙!$E$137</definedName>
    <definedName name="billid126">変更別紙!$E$138</definedName>
    <definedName name="billid127">変更別紙!$E$139</definedName>
    <definedName name="billid128">変更別紙!$E$140</definedName>
    <definedName name="billid129">変更別紙!$E$141</definedName>
    <definedName name="billid130">変更別紙!$E$142</definedName>
    <definedName name="billid131">変更別紙!$E$143</definedName>
    <definedName name="billid132">変更別紙!$E$144</definedName>
    <definedName name="billid133">変更別紙!$E$145</definedName>
    <definedName name="billid134">変更別紙!$E$146</definedName>
    <definedName name="billid135">変更別紙!$E$147</definedName>
    <definedName name="billid136">変更別紙!$E$148</definedName>
    <definedName name="billid137">変更別紙!$E$149</definedName>
    <definedName name="billid138">変更別紙!$E$150</definedName>
    <definedName name="billid139">変更別紙!$E$151</definedName>
    <definedName name="billid140">変更別紙!$E$152</definedName>
    <definedName name="billid141">変更別紙!$E$153</definedName>
    <definedName name="billid142">変更別紙!$E$154</definedName>
    <definedName name="billid143">変更別紙!$E$155</definedName>
    <definedName name="billid144">変更別紙!$E$156</definedName>
    <definedName name="billid145">変更別紙!$E$157</definedName>
    <definedName name="billid146">変更別紙!$E$158</definedName>
    <definedName name="billid147">変更別紙!$E$159</definedName>
    <definedName name="billid148">変更別紙!$E$160</definedName>
    <definedName name="billid149">変更別紙!$E$161</definedName>
    <definedName name="billid150">変更別紙!$E$162</definedName>
    <definedName name="billid151">変更別紙!$E$163</definedName>
    <definedName name="billid152">変更別紙!$E$164</definedName>
    <definedName name="billid153">変更別紙!$E$165</definedName>
    <definedName name="billid154">変更別紙!$E$166</definedName>
    <definedName name="billid155">変更別紙!$E$167</definedName>
    <definedName name="billid156">変更別紙!$E$168</definedName>
    <definedName name="billid157">変更別紙!$E$169</definedName>
    <definedName name="billid158">変更別紙!$E$170</definedName>
    <definedName name="billid159">変更別紙!$E$171</definedName>
    <definedName name="billid160">変更別紙!$E$172</definedName>
    <definedName name="billid161">変更別紙!$E$173</definedName>
    <definedName name="billid162">変更別紙!$E$174</definedName>
    <definedName name="billid163">変更別紙!$E$175</definedName>
    <definedName name="billid164">変更別紙!$E$176</definedName>
    <definedName name="billid165">変更別紙!$E$177</definedName>
    <definedName name="billid166">変更別紙!$E$178</definedName>
    <definedName name="billid167">変更別紙!$E$179</definedName>
    <definedName name="billid168">変更別紙!$E$180</definedName>
    <definedName name="billid169">変更別紙!$E$181</definedName>
    <definedName name="billid170">変更別紙!$E$182</definedName>
    <definedName name="billid171">変更別紙!$E$183</definedName>
    <definedName name="billid172">変更別紙!$E$184</definedName>
    <definedName name="billid173">変更別紙!$E$185</definedName>
    <definedName name="billid174">変更別紙!$E$186</definedName>
    <definedName name="billid175">変更別紙!$E$187</definedName>
    <definedName name="billid176">変更別紙!$E$188</definedName>
    <definedName name="billid177">変更別紙!$E$189</definedName>
    <definedName name="billid178">変更別紙!$E$190</definedName>
    <definedName name="billid179">変更別紙!$E$191</definedName>
    <definedName name="billid180">変更別紙!$E$192</definedName>
    <definedName name="billid181">変更別紙!$E$193</definedName>
    <definedName name="billid182">変更別紙!$E$194</definedName>
    <definedName name="billid183">変更別紙!$E$195</definedName>
    <definedName name="billid184">変更別紙!$E$196</definedName>
    <definedName name="billid185">変更別紙!$E$197</definedName>
    <definedName name="billid186">変更別紙!$E$198</definedName>
    <definedName name="billid187">変更別紙!$E$199</definedName>
    <definedName name="billid188">変更別紙!$E$200</definedName>
    <definedName name="billid189">変更別紙!$E$201</definedName>
    <definedName name="billid190">変更別紙!$E$202</definedName>
    <definedName name="billid191">変更別紙!$E$203</definedName>
    <definedName name="billid192">変更別紙!$E$204</definedName>
    <definedName name="billid193">変更別紙!$E$205</definedName>
    <definedName name="billid194">変更別紙!$E$206</definedName>
    <definedName name="billid195">変更別紙!$E$207</definedName>
    <definedName name="billid196">変更別紙!$E$208</definedName>
    <definedName name="billid197">変更別紙!$E$209</definedName>
    <definedName name="billid198">変更別紙!$E$210</definedName>
    <definedName name="billid199">変更別紙!$E$211</definedName>
    <definedName name="billid200">変更別紙!$E$212</definedName>
    <definedName name="billid201">変更別紙!$E$213</definedName>
    <definedName name="billid202">変更別紙!$E$214</definedName>
    <definedName name="billid203">変更別紙!$E$215</definedName>
    <definedName name="billid204">変更別紙!$E$216</definedName>
    <definedName name="billid205">変更別紙!$E$217</definedName>
    <definedName name="billid206">変更別紙!$E$218</definedName>
    <definedName name="billid207">変更別紙!$E$219</definedName>
    <definedName name="billid208">変更別紙!$E$220</definedName>
    <definedName name="billid209">変更別紙!$E$221</definedName>
    <definedName name="billid210">変更別紙!$E$222</definedName>
    <definedName name="billid211">変更別紙!$E$223</definedName>
    <definedName name="billid212">変更別紙!$E$224</definedName>
    <definedName name="billid213">変更別紙!$E$225</definedName>
    <definedName name="billid214">変更別紙!$E$226</definedName>
    <definedName name="billid215">変更別紙!$E$227</definedName>
    <definedName name="billid216">変更別紙!$E$228</definedName>
    <definedName name="billid217">変更別紙!$E$229</definedName>
    <definedName name="billid218">変更別紙!$E$230</definedName>
    <definedName name="billid219">変更別紙!$E$231</definedName>
    <definedName name="billid220">変更別紙!$E$232</definedName>
    <definedName name="billid221">変更別紙!$E$233</definedName>
    <definedName name="billid222">変更別紙!$E$234</definedName>
    <definedName name="billid223">変更別紙!$E$235</definedName>
    <definedName name="billid224">変更別紙!$E$236</definedName>
    <definedName name="billid225">変更別紙!$E$237</definedName>
    <definedName name="billid226">変更別紙!$E$238</definedName>
    <definedName name="billid227">変更別紙!$E$239</definedName>
    <definedName name="billid228">変更別紙!$E$240</definedName>
    <definedName name="billid229">変更別紙!$E$241</definedName>
    <definedName name="billid230">変更別紙!$E$242</definedName>
    <definedName name="billid231">変更別紙!$E$243</definedName>
    <definedName name="billid232">変更別紙!$E$244</definedName>
    <definedName name="billid233">変更別紙!$E$245</definedName>
    <definedName name="billid234">変更別紙!$E$246</definedName>
    <definedName name="billid235">変更別紙!$E$247</definedName>
    <definedName name="billid236">変更別紙!$E$248</definedName>
    <definedName name="billid237">変更別紙!$E$249</definedName>
    <definedName name="billid238">変更別紙!$E$250</definedName>
    <definedName name="billid239">変更別紙!$E$251</definedName>
    <definedName name="billid240">変更別紙!$E$252</definedName>
    <definedName name="billid241">変更別紙!$E$253</definedName>
    <definedName name="billid242">変更別紙!$E$254</definedName>
    <definedName name="billid243">変更別紙!$E$255</definedName>
    <definedName name="billid244">変更別紙!$E$256</definedName>
    <definedName name="billid245">変更別紙!$E$257</definedName>
    <definedName name="billid246">変更別紙!$E$258</definedName>
    <definedName name="billid247">変更別紙!$E$259</definedName>
    <definedName name="billid248">変更別紙!$E$260</definedName>
    <definedName name="billid249">変更別紙!$E$261</definedName>
    <definedName name="billid250">変更別紙!$E$262</definedName>
    <definedName name="billid251">変更別紙!#REF!</definedName>
    <definedName name="billid252">変更別紙!#REF!</definedName>
    <definedName name="billid253">変更別紙!#REF!</definedName>
    <definedName name="billid254">変更別紙!#REF!</definedName>
    <definedName name="billid255">変更別紙!#REF!</definedName>
    <definedName name="billid256">変更別紙!#REF!</definedName>
    <definedName name="billid257">変更別紙!#REF!</definedName>
    <definedName name="billid258">変更別紙!#REF!</definedName>
    <definedName name="billid259">変更別紙!#REF!</definedName>
    <definedName name="billid260">変更別紙!#REF!</definedName>
    <definedName name="billid261">変更別紙!#REF!</definedName>
    <definedName name="billid262">変更別紙!#REF!</definedName>
    <definedName name="billid263">変更別紙!#REF!</definedName>
    <definedName name="billid264">変更別紙!#REF!</definedName>
    <definedName name="billid265">変更別紙!#REF!</definedName>
    <definedName name="billid266">変更別紙!#REF!</definedName>
    <definedName name="billid267">変更別紙!#REF!</definedName>
    <definedName name="billid268">変更別紙!#REF!</definedName>
    <definedName name="billid269">変更別紙!#REF!</definedName>
    <definedName name="billid270">変更別紙!#REF!</definedName>
    <definedName name="billid271">変更別紙!#REF!</definedName>
    <definedName name="billid272">変更別紙!#REF!</definedName>
    <definedName name="billid273">変更別紙!#REF!</definedName>
    <definedName name="billid274">変更別紙!#REF!</definedName>
    <definedName name="billid275">変更別紙!#REF!</definedName>
    <definedName name="billid276">変更別紙!#REF!</definedName>
    <definedName name="billid277">変更別紙!#REF!</definedName>
    <definedName name="billid278">変更別紙!#REF!</definedName>
    <definedName name="billid279">変更別紙!#REF!</definedName>
    <definedName name="billid280">変更別紙!#REF!</definedName>
    <definedName name="billid281">変更別紙!#REF!</definedName>
    <definedName name="billid282">変更別紙!#REF!</definedName>
    <definedName name="billid283">変更別紙!#REF!</definedName>
    <definedName name="billid284">変更別紙!#REF!</definedName>
    <definedName name="billid285">変更別紙!#REF!</definedName>
    <definedName name="billid286">変更別紙!#REF!</definedName>
    <definedName name="billid287">変更別紙!#REF!</definedName>
    <definedName name="billid288">変更別紙!#REF!</definedName>
    <definedName name="billid289">変更別紙!#REF!</definedName>
    <definedName name="billid290">変更別紙!#REF!</definedName>
    <definedName name="billid291">変更別紙!#REF!</definedName>
    <definedName name="billid292">変更別紙!#REF!</definedName>
    <definedName name="billid293">変更別紙!#REF!</definedName>
    <definedName name="billid294">変更別紙!#REF!</definedName>
    <definedName name="billid295">変更別紙!#REF!</definedName>
    <definedName name="billid296">変更別紙!#REF!</definedName>
    <definedName name="billid297">変更別紙!#REF!</definedName>
    <definedName name="billid298">変更別紙!#REF!</definedName>
    <definedName name="billid299">変更別紙!#REF!</definedName>
    <definedName name="billid300">変更別紙!#REF!</definedName>
    <definedName name="billid301">変更別紙!#REF!</definedName>
    <definedName name="billid302">変更別紙!#REF!</definedName>
    <definedName name="billid303">変更別紙!#REF!</definedName>
    <definedName name="billid304">変更別紙!#REF!</definedName>
    <definedName name="billid305">変更別紙!#REF!</definedName>
    <definedName name="billid306">変更別紙!#REF!</definedName>
    <definedName name="billid307">変更別紙!#REF!</definedName>
    <definedName name="billid308">変更別紙!#REF!</definedName>
    <definedName name="billid309">変更別紙!#REF!</definedName>
    <definedName name="billid310">変更別紙!#REF!</definedName>
    <definedName name="billid311">変更別紙!#REF!</definedName>
    <definedName name="billid312">変更別紙!#REF!</definedName>
    <definedName name="billid313">変更別紙!#REF!</definedName>
    <definedName name="billid314">変更別紙!#REF!</definedName>
    <definedName name="billid315">変更別紙!#REF!</definedName>
    <definedName name="billid316">変更別紙!#REF!</definedName>
    <definedName name="billid317">変更別紙!#REF!</definedName>
    <definedName name="billid318">変更別紙!#REF!</definedName>
    <definedName name="billid319">変更別紙!#REF!</definedName>
    <definedName name="billid320">変更別紙!#REF!</definedName>
    <definedName name="billid321">変更別紙!#REF!</definedName>
    <definedName name="billid322">変更別紙!#REF!</definedName>
    <definedName name="billid323">変更別紙!#REF!</definedName>
    <definedName name="billid324">変更別紙!#REF!</definedName>
    <definedName name="billid325">変更別紙!#REF!</definedName>
    <definedName name="billid326">変更別紙!#REF!</definedName>
    <definedName name="billid327">変更別紙!#REF!</definedName>
    <definedName name="billid328">変更別紙!#REF!</definedName>
    <definedName name="billid329">変更別紙!#REF!</definedName>
    <definedName name="billid330">変更別紙!#REF!</definedName>
    <definedName name="billid331">変更別紙!#REF!</definedName>
    <definedName name="billid332">変更別紙!#REF!</definedName>
    <definedName name="billid333">変更別紙!#REF!</definedName>
    <definedName name="billid334">変更別紙!#REF!</definedName>
    <definedName name="billid335">変更別紙!#REF!</definedName>
    <definedName name="billid336">変更別紙!#REF!</definedName>
    <definedName name="billid337">変更別紙!#REF!</definedName>
    <definedName name="billid338">変更別紙!#REF!</definedName>
    <definedName name="billid339">変更別紙!#REF!</definedName>
    <definedName name="billid340">変更別紙!#REF!</definedName>
    <definedName name="billid341">変更別紙!#REF!</definedName>
    <definedName name="billid342">変更別紙!#REF!</definedName>
    <definedName name="billid343">変更別紙!#REF!</definedName>
    <definedName name="billid344">変更別紙!#REF!</definedName>
    <definedName name="billid345">変更別紙!#REF!</definedName>
    <definedName name="billid346">変更別紙!#REF!</definedName>
    <definedName name="billid347">変更別紙!#REF!</definedName>
    <definedName name="billid348">変更別紙!#REF!</definedName>
    <definedName name="billid349">変更別紙!#REF!</definedName>
    <definedName name="billid350">変更別紙!#REF!</definedName>
    <definedName name="billid351">変更別紙!#REF!</definedName>
    <definedName name="billid352">変更別紙!#REF!</definedName>
    <definedName name="billid353">変更別紙!#REF!</definedName>
    <definedName name="billid354">変更別紙!#REF!</definedName>
    <definedName name="billid355">変更別紙!#REF!</definedName>
    <definedName name="billid356">変更別紙!#REF!</definedName>
    <definedName name="billid357">変更別紙!#REF!</definedName>
    <definedName name="billid358">変更別紙!#REF!</definedName>
    <definedName name="billid359">変更別紙!#REF!</definedName>
    <definedName name="billid360">変更別紙!#REF!</definedName>
    <definedName name="billid361">変更別紙!#REF!</definedName>
    <definedName name="billid362">変更別紙!#REF!</definedName>
    <definedName name="billid363">変更別紙!#REF!</definedName>
    <definedName name="billid364">変更別紙!#REF!</definedName>
    <definedName name="billid365">変更別紙!#REF!</definedName>
    <definedName name="billid366">変更別紙!#REF!</definedName>
    <definedName name="billid367">変更別紙!#REF!</definedName>
    <definedName name="billid368">変更別紙!#REF!</definedName>
    <definedName name="billid369">変更別紙!#REF!</definedName>
    <definedName name="billid370">変更別紙!#REF!</definedName>
    <definedName name="billid371">変更別紙!#REF!</definedName>
    <definedName name="billid372">変更別紙!#REF!</definedName>
    <definedName name="billid373">変更別紙!#REF!</definedName>
    <definedName name="billid374">変更別紙!#REF!</definedName>
    <definedName name="billid375">変更別紙!#REF!</definedName>
    <definedName name="billid376">変更別紙!#REF!</definedName>
    <definedName name="billid377">変更別紙!#REF!</definedName>
    <definedName name="billid378">変更別紙!#REF!</definedName>
    <definedName name="billid379">変更別紙!#REF!</definedName>
    <definedName name="billid380">変更別紙!#REF!</definedName>
    <definedName name="billid381">変更別紙!#REF!</definedName>
    <definedName name="billid382">変更別紙!#REF!</definedName>
    <definedName name="billid383">変更別紙!#REF!</definedName>
    <definedName name="billid384">変更別紙!#REF!</definedName>
    <definedName name="billid385">変更別紙!#REF!</definedName>
    <definedName name="billid386">変更別紙!#REF!</definedName>
    <definedName name="billid387">変更別紙!#REF!</definedName>
    <definedName name="billid388">変更別紙!#REF!</definedName>
    <definedName name="billid389">変更別紙!#REF!</definedName>
    <definedName name="billid390">変更別紙!#REF!</definedName>
    <definedName name="billid391">変更別紙!#REF!</definedName>
    <definedName name="billid392">変更別紙!#REF!</definedName>
    <definedName name="billid393">変更別紙!#REF!</definedName>
    <definedName name="billid394">変更別紙!#REF!</definedName>
    <definedName name="billid395">変更別紙!#REF!</definedName>
    <definedName name="billid396">変更別紙!#REF!</definedName>
    <definedName name="billid397">変更別紙!#REF!</definedName>
    <definedName name="billid398">変更別紙!#REF!</definedName>
    <definedName name="billid399">変更別紙!#REF!</definedName>
    <definedName name="billid400">変更別紙!#REF!</definedName>
    <definedName name="billid401">変更別紙!#REF!</definedName>
    <definedName name="billid402">変更別紙!#REF!</definedName>
    <definedName name="billid403">変更別紙!#REF!</definedName>
    <definedName name="billid404">変更別紙!#REF!</definedName>
    <definedName name="billid405">変更別紙!#REF!</definedName>
    <definedName name="billid406">変更別紙!#REF!</definedName>
    <definedName name="billid407">変更別紙!#REF!</definedName>
    <definedName name="billid408">変更別紙!#REF!</definedName>
    <definedName name="billid409">変更別紙!#REF!</definedName>
    <definedName name="billid410">変更別紙!#REF!</definedName>
    <definedName name="billid411">変更別紙!#REF!</definedName>
    <definedName name="billid412">変更別紙!#REF!</definedName>
    <definedName name="billid413">変更別紙!#REF!</definedName>
    <definedName name="billid414">変更別紙!#REF!</definedName>
    <definedName name="billid415">変更別紙!#REF!</definedName>
    <definedName name="billid416">変更別紙!#REF!</definedName>
    <definedName name="billid417">変更別紙!#REF!</definedName>
    <definedName name="billid418">変更別紙!#REF!</definedName>
    <definedName name="billid419">変更別紙!#REF!</definedName>
    <definedName name="billid420">変更別紙!#REF!</definedName>
    <definedName name="billid421">変更別紙!#REF!</definedName>
    <definedName name="billid422">変更別紙!#REF!</definedName>
    <definedName name="billid423">変更別紙!#REF!</definedName>
    <definedName name="billid424">変更別紙!#REF!</definedName>
    <definedName name="billid425">変更別紙!#REF!</definedName>
    <definedName name="billid426">変更別紙!#REF!</definedName>
    <definedName name="billid427">変更別紙!#REF!</definedName>
    <definedName name="billid428">変更別紙!#REF!</definedName>
    <definedName name="billid429">変更別紙!#REF!</definedName>
    <definedName name="billid430">変更別紙!#REF!</definedName>
    <definedName name="billid431">変更別紙!#REF!</definedName>
    <definedName name="billid432">変更別紙!#REF!</definedName>
    <definedName name="billid433">変更別紙!#REF!</definedName>
    <definedName name="billid434">変更別紙!#REF!</definedName>
    <definedName name="billid435">変更別紙!#REF!</definedName>
    <definedName name="billid436">変更別紙!#REF!</definedName>
    <definedName name="billid437">変更別紙!#REF!</definedName>
    <definedName name="billid438">変更別紙!#REF!</definedName>
    <definedName name="billid439">変更別紙!#REF!</definedName>
    <definedName name="billid440">変更別紙!#REF!</definedName>
    <definedName name="billid441">変更別紙!#REF!</definedName>
    <definedName name="billid442">変更別紙!#REF!</definedName>
    <definedName name="billid443">変更別紙!#REF!</definedName>
    <definedName name="billid444">変更別紙!#REF!</definedName>
    <definedName name="billid445">変更別紙!#REF!</definedName>
    <definedName name="billid446">変更別紙!#REF!</definedName>
    <definedName name="billid447">変更別紙!#REF!</definedName>
    <definedName name="billid448">変更別紙!#REF!</definedName>
    <definedName name="billid449">変更別紙!#REF!</definedName>
    <definedName name="billid450">変更別紙!#REF!</definedName>
    <definedName name="billid451">変更別紙!#REF!</definedName>
    <definedName name="billid452">変更別紙!#REF!</definedName>
    <definedName name="billid453">変更別紙!#REF!</definedName>
    <definedName name="billid454">変更別紙!#REF!</definedName>
    <definedName name="billid455">変更別紙!#REF!</definedName>
    <definedName name="billid456">変更別紙!#REF!</definedName>
    <definedName name="billid457">変更別紙!#REF!</definedName>
    <definedName name="billid458">変更別紙!#REF!</definedName>
    <definedName name="billid459">変更別紙!#REF!</definedName>
    <definedName name="billid460">変更別紙!#REF!</definedName>
    <definedName name="billid461">変更別紙!#REF!</definedName>
    <definedName name="billid462">変更別紙!#REF!</definedName>
    <definedName name="billid463">変更別紙!#REF!</definedName>
    <definedName name="billid464">変更別紙!#REF!</definedName>
    <definedName name="billid465">変更別紙!#REF!</definedName>
    <definedName name="billid466">変更別紙!#REF!</definedName>
    <definedName name="billid467">変更別紙!#REF!</definedName>
    <definedName name="billid468">変更別紙!#REF!</definedName>
    <definedName name="billid469">変更別紙!#REF!</definedName>
    <definedName name="billid470">変更別紙!#REF!</definedName>
    <definedName name="billid471">変更別紙!#REF!</definedName>
    <definedName name="billid472">変更別紙!#REF!</definedName>
    <definedName name="billid473">変更別紙!#REF!</definedName>
    <definedName name="billid474">変更別紙!#REF!</definedName>
    <definedName name="billid475">変更別紙!#REF!</definedName>
    <definedName name="billid476">変更別紙!#REF!</definedName>
    <definedName name="billid477">変更別紙!#REF!</definedName>
    <definedName name="billid478">変更別紙!#REF!</definedName>
    <definedName name="billid479">変更別紙!#REF!</definedName>
    <definedName name="billid480">変更別紙!#REF!</definedName>
    <definedName name="billid481">変更別紙!#REF!</definedName>
    <definedName name="billid482">変更別紙!#REF!</definedName>
    <definedName name="billid483">変更別紙!#REF!</definedName>
    <definedName name="billid484">変更別紙!#REF!</definedName>
    <definedName name="billid485">変更別紙!#REF!</definedName>
    <definedName name="billid486">変更別紙!#REF!</definedName>
    <definedName name="billid487">変更別紙!#REF!</definedName>
    <definedName name="billid488">変更別紙!#REF!</definedName>
    <definedName name="billid489">変更別紙!#REF!</definedName>
    <definedName name="billid490">変更別紙!#REF!</definedName>
    <definedName name="billid491">変更別紙!#REF!</definedName>
    <definedName name="billid492">変更別紙!#REF!</definedName>
    <definedName name="billid493">変更別紙!#REF!</definedName>
    <definedName name="billid494">変更別紙!#REF!</definedName>
    <definedName name="billid495">変更別紙!#REF!</definedName>
    <definedName name="billid496">変更別紙!#REF!</definedName>
    <definedName name="billid497">変更別紙!#REF!</definedName>
    <definedName name="billid498">変更別紙!#REF!</definedName>
    <definedName name="billid499">変更別紙!#REF!</definedName>
    <definedName name="billid500">変更別紙!#REF!</definedName>
    <definedName name="billingStationAuthKey">付替お申込書!#REF!</definedName>
    <definedName name="billingStationCustomerMailAddress">付替お申込書!#REF!</definedName>
    <definedName name="billingStationCustomerNumber">'table（隠す）変更'!$P$3</definedName>
    <definedName name="billingStationDeptName">付替お申込書!$K$21</definedName>
    <definedName name="billingStationDeptNameKana">付替お申込書!$K$20</definedName>
    <definedName name="billingStationPerson">付替お申込書!$K$23</definedName>
    <definedName name="billingStationPersonKana">付替お申込書!$K$22</definedName>
    <definedName name="billingStationPhoneNumber">付替お申込書!$K$19</definedName>
    <definedName name="billingStationPlan">付替お申込書!$K$26</definedName>
    <definedName name="billingStationUseDataByNumber">付替お申込書!$K$27</definedName>
    <definedName name="comment">付替お申込書!$M$41</definedName>
    <definedName name="companycode001">変更別紙!$I$13</definedName>
    <definedName name="companycode002">変更別紙!$I$14</definedName>
    <definedName name="companycode003">変更別紙!$I$15</definedName>
    <definedName name="companycode004">変更別紙!$I$16</definedName>
    <definedName name="companycode005">変更別紙!$I$17</definedName>
    <definedName name="companycode006">変更別紙!$I$18</definedName>
    <definedName name="companycode007">変更別紙!$I$19</definedName>
    <definedName name="companycode008">変更別紙!$I$20</definedName>
    <definedName name="companycode009">変更別紙!$I$21</definedName>
    <definedName name="companycode010">変更別紙!$I$22</definedName>
    <definedName name="companycode011">変更別紙!$I$23</definedName>
    <definedName name="companycode012">変更別紙!$I$24</definedName>
    <definedName name="companycode013">変更別紙!$I$25</definedName>
    <definedName name="companycode014">変更別紙!$I$26</definedName>
    <definedName name="companycode015">変更別紙!$I$27</definedName>
    <definedName name="companycode016">変更別紙!$I$28</definedName>
    <definedName name="companycode017">変更別紙!$I$29</definedName>
    <definedName name="companycode018">変更別紙!$I$30</definedName>
    <definedName name="companycode019">変更別紙!$I$31</definedName>
    <definedName name="companycode020">変更別紙!$I$32</definedName>
    <definedName name="companycode021">変更別紙!$I$33</definedName>
    <definedName name="companycode022">変更別紙!$I$34</definedName>
    <definedName name="companycode023">変更別紙!$I$35</definedName>
    <definedName name="companycode024">変更別紙!$I$36</definedName>
    <definedName name="companycode025">変更別紙!$I$37</definedName>
    <definedName name="companycode026">変更別紙!$I$38</definedName>
    <definedName name="companycode027">変更別紙!$I$39</definedName>
    <definedName name="companycode028">変更別紙!$I$40</definedName>
    <definedName name="companycode029">変更別紙!$I$41</definedName>
    <definedName name="companycode030">変更別紙!$I$42</definedName>
    <definedName name="companycode031">変更別紙!$I$43</definedName>
    <definedName name="companycode032">変更別紙!$I$44</definedName>
    <definedName name="companycode033">変更別紙!$I$45</definedName>
    <definedName name="companycode034">変更別紙!$I$46</definedName>
    <definedName name="companycode035">変更別紙!$I$47</definedName>
    <definedName name="companycode036">変更別紙!$I$48</definedName>
    <definedName name="companycode037">変更別紙!$I$49</definedName>
    <definedName name="companycode038">変更別紙!$I$50</definedName>
    <definedName name="companycode039">変更別紙!$I$51</definedName>
    <definedName name="companycode040">変更別紙!$I$52</definedName>
    <definedName name="companycode041">変更別紙!$I$53</definedName>
    <definedName name="companycode042">変更別紙!$I$54</definedName>
    <definedName name="companycode043">変更別紙!$I$55</definedName>
    <definedName name="companycode044">変更別紙!$I$56</definedName>
    <definedName name="companycode045">変更別紙!$I$57</definedName>
    <definedName name="companycode046">変更別紙!$I$58</definedName>
    <definedName name="companycode047">変更別紙!$I$59</definedName>
    <definedName name="companycode048">変更別紙!$I$60</definedName>
    <definedName name="companycode049">変更別紙!$I$61</definedName>
    <definedName name="companycode050">変更別紙!$I$62</definedName>
    <definedName name="companycode051">変更別紙!$I$63</definedName>
    <definedName name="companycode052">変更別紙!$I$64</definedName>
    <definedName name="companycode053">変更別紙!$I$65</definedName>
    <definedName name="companycode054">変更別紙!$I$66</definedName>
    <definedName name="companycode055">変更別紙!$I$67</definedName>
    <definedName name="companycode056">変更別紙!$I$68</definedName>
    <definedName name="companycode057">変更別紙!$I$69</definedName>
    <definedName name="companycode058">変更別紙!$I$70</definedName>
    <definedName name="companycode059">変更別紙!$I$71</definedName>
    <definedName name="companycode060">変更別紙!$I$72</definedName>
    <definedName name="companycode061">変更別紙!$I$73</definedName>
    <definedName name="companycode062">変更別紙!$I$74</definedName>
    <definedName name="companycode063">変更別紙!$I$75</definedName>
    <definedName name="companycode064">変更別紙!$I$76</definedName>
    <definedName name="companycode065">変更別紙!$I$77</definedName>
    <definedName name="companycode066">変更別紙!$I$78</definedName>
    <definedName name="companycode067">変更別紙!$I$79</definedName>
    <definedName name="companycode068">変更別紙!$I$80</definedName>
    <definedName name="companycode069">変更別紙!$I$81</definedName>
    <definedName name="companycode070">変更別紙!$I$82</definedName>
    <definedName name="companycode071">変更別紙!$I$83</definedName>
    <definedName name="companycode072">変更別紙!$I$84</definedName>
    <definedName name="companycode073">変更別紙!$I$85</definedName>
    <definedName name="companycode074">変更別紙!$I$86</definedName>
    <definedName name="companycode075">変更別紙!$I$87</definedName>
    <definedName name="companycode076">変更別紙!$I$88</definedName>
    <definedName name="companycode077">変更別紙!$I$89</definedName>
    <definedName name="companycode078">変更別紙!$I$90</definedName>
    <definedName name="companycode079">変更別紙!$I$91</definedName>
    <definedName name="companycode080">変更別紙!$I$92</definedName>
    <definedName name="companycode081">変更別紙!$I$93</definedName>
    <definedName name="companycode082">変更別紙!$I$94</definedName>
    <definedName name="companycode083">変更別紙!$I$95</definedName>
    <definedName name="companycode084">変更別紙!$I$96</definedName>
    <definedName name="companycode085">変更別紙!$I$97</definedName>
    <definedName name="companycode086">変更別紙!$I$98</definedName>
    <definedName name="companycode087">変更別紙!$I$99</definedName>
    <definedName name="companycode088">変更別紙!$I$100</definedName>
    <definedName name="companycode089">変更別紙!$I$101</definedName>
    <definedName name="companycode090">変更別紙!$I$102</definedName>
    <definedName name="companycode091">変更別紙!$I$103</definedName>
    <definedName name="companycode092">変更別紙!$I$104</definedName>
    <definedName name="companycode093">変更別紙!$I$105</definedName>
    <definedName name="companycode094">変更別紙!$I$106</definedName>
    <definedName name="companycode095">変更別紙!$I$107</definedName>
    <definedName name="companycode096">変更別紙!$I$108</definedName>
    <definedName name="companycode097">変更別紙!$I$109</definedName>
    <definedName name="companycode098">変更別紙!$I$110</definedName>
    <definedName name="companycode099">変更別紙!$I$111</definedName>
    <definedName name="companycode100">変更別紙!$I$112</definedName>
    <definedName name="companycode101">変更別紙!$I$113</definedName>
    <definedName name="companycode102">変更別紙!$I$114</definedName>
    <definedName name="companycode103">変更別紙!$I$115</definedName>
    <definedName name="companycode104">変更別紙!$I$116</definedName>
    <definedName name="companycode105">変更別紙!$I$117</definedName>
    <definedName name="companycode106">変更別紙!$I$118</definedName>
    <definedName name="companycode107">変更別紙!$I$119</definedName>
    <definedName name="companycode108">変更別紙!$I$120</definedName>
    <definedName name="companycode109">変更別紙!$I$121</definedName>
    <definedName name="companycode110">変更別紙!$I$122</definedName>
    <definedName name="companycode111">変更別紙!$I$123</definedName>
    <definedName name="companycode112">変更別紙!$I$124</definedName>
    <definedName name="companycode113">変更別紙!$I$125</definedName>
    <definedName name="companycode114">変更別紙!$I$126</definedName>
    <definedName name="companycode115">変更別紙!$I$127</definedName>
    <definedName name="companycode116">変更別紙!$I$128</definedName>
    <definedName name="companycode117">変更別紙!$I$129</definedName>
    <definedName name="companycode118">変更別紙!$I$130</definedName>
    <definedName name="companycode119">変更別紙!$I$131</definedName>
    <definedName name="companycode120">変更別紙!$I$132</definedName>
    <definedName name="companycode121">変更別紙!$I$133</definedName>
    <definedName name="companycode122">変更別紙!$I$134</definedName>
    <definedName name="companycode123">変更別紙!$I$135</definedName>
    <definedName name="companycode124">変更別紙!$I$136</definedName>
    <definedName name="companycode125">変更別紙!$I$137</definedName>
    <definedName name="companycode126">変更別紙!$I$138</definedName>
    <definedName name="companycode127">変更別紙!$I$139</definedName>
    <definedName name="companycode128">変更別紙!$I$140</definedName>
    <definedName name="companycode129">変更別紙!$I$141</definedName>
    <definedName name="companycode130">変更別紙!$I$142</definedName>
    <definedName name="companycode131">変更別紙!$I$143</definedName>
    <definedName name="companycode132">変更別紙!$I$144</definedName>
    <definedName name="companycode133">変更別紙!$I$145</definedName>
    <definedName name="companycode134">変更別紙!$I$146</definedName>
    <definedName name="companycode135">変更別紙!$I$147</definedName>
    <definedName name="companycode136">変更別紙!$I$148</definedName>
    <definedName name="companycode137">変更別紙!$I$149</definedName>
    <definedName name="companycode138">変更別紙!$I$150</definedName>
    <definedName name="companycode139">変更別紙!$I$151</definedName>
    <definedName name="companycode140">変更別紙!$I$152</definedName>
    <definedName name="companycode141">変更別紙!$I$153</definedName>
    <definedName name="companycode142">変更別紙!$I$154</definedName>
    <definedName name="companycode143">変更別紙!$I$155</definedName>
    <definedName name="companycode144">変更別紙!$I$156</definedName>
    <definedName name="companycode145">変更別紙!$I$157</definedName>
    <definedName name="companycode146">変更別紙!$I$158</definedName>
    <definedName name="companycode147">変更別紙!$I$159</definedName>
    <definedName name="companycode148">変更別紙!$I$160</definedName>
    <definedName name="companycode149">変更別紙!$I$161</definedName>
    <definedName name="companycode150">変更別紙!$I$162</definedName>
    <definedName name="companycode151">変更別紙!$I$163</definedName>
    <definedName name="companycode152">変更別紙!$I$164</definedName>
    <definedName name="companycode153">変更別紙!$I$165</definedName>
    <definedName name="companycode154">変更別紙!$I$166</definedName>
    <definedName name="companycode155">変更別紙!$I$167</definedName>
    <definedName name="companycode156">変更別紙!$I$168</definedName>
    <definedName name="companycode157">変更別紙!$I$169</definedName>
    <definedName name="companycode158">変更別紙!$I$170</definedName>
    <definedName name="companycode159">変更別紙!$I$171</definedName>
    <definedName name="companycode160">変更別紙!$I$172</definedName>
    <definedName name="companycode161">変更別紙!$I$173</definedName>
    <definedName name="companycode162">変更別紙!$I$174</definedName>
    <definedName name="companycode163">変更別紙!$I$175</definedName>
    <definedName name="companycode164">変更別紙!$I$176</definedName>
    <definedName name="companycode165">変更別紙!$I$177</definedName>
    <definedName name="companycode166">変更別紙!$I$178</definedName>
    <definedName name="companycode167">変更別紙!$I$179</definedName>
    <definedName name="companycode168">変更別紙!$I$180</definedName>
    <definedName name="companycode169">変更別紙!$I$181</definedName>
    <definedName name="companycode170">変更別紙!$I$182</definedName>
    <definedName name="companycode171">変更別紙!$I$183</definedName>
    <definedName name="companycode172">変更別紙!$I$184</definedName>
    <definedName name="companycode173">変更別紙!$I$185</definedName>
    <definedName name="companycode174">変更別紙!$I$186</definedName>
    <definedName name="companycode175">変更別紙!$I$187</definedName>
    <definedName name="companycode176">変更別紙!$I$188</definedName>
    <definedName name="companycode177">変更別紙!$I$189</definedName>
    <definedName name="companycode178">変更別紙!$I$190</definedName>
    <definedName name="companycode179">変更別紙!$I$191</definedName>
    <definedName name="companycode180">変更別紙!$I$192</definedName>
    <definedName name="companycode181">変更別紙!$I$193</definedName>
    <definedName name="companycode182">変更別紙!$I$194</definedName>
    <definedName name="companycode183">変更別紙!$I$195</definedName>
    <definedName name="companycode184">変更別紙!$I$196</definedName>
    <definedName name="companycode185">変更別紙!$I$197</definedName>
    <definedName name="companycode186">変更別紙!$I$198</definedName>
    <definedName name="companycode187">変更別紙!$I$199</definedName>
    <definedName name="companycode188">変更別紙!$I$200</definedName>
    <definedName name="companycode189">変更別紙!$I$201</definedName>
    <definedName name="companycode190">変更別紙!$I$202</definedName>
    <definedName name="companycode191">変更別紙!$I$203</definedName>
    <definedName name="companycode192">変更別紙!$I$204</definedName>
    <definedName name="companycode193">変更別紙!$I$205</definedName>
    <definedName name="companycode194">変更別紙!$I$206</definedName>
    <definedName name="companycode195">変更別紙!$I$207</definedName>
    <definedName name="companycode196">変更別紙!$I$208</definedName>
    <definedName name="companycode197">変更別紙!$I$209</definedName>
    <definedName name="companycode198">変更別紙!$I$210</definedName>
    <definedName name="companycode199">変更別紙!$I$211</definedName>
    <definedName name="companycode200">変更別紙!$I$212</definedName>
    <definedName name="companycode201">変更別紙!$I$213</definedName>
    <definedName name="companycode202">変更別紙!$I$214</definedName>
    <definedName name="companycode203">変更別紙!$I$215</definedName>
    <definedName name="companycode204">変更別紙!$I$216</definedName>
    <definedName name="companycode205">変更別紙!$I$217</definedName>
    <definedName name="companycode206">変更別紙!$I$218</definedName>
    <definedName name="companycode207">変更別紙!$I$219</definedName>
    <definedName name="companycode208">変更別紙!$I$220</definedName>
    <definedName name="companycode209">変更別紙!$I$221</definedName>
    <definedName name="companycode210">変更別紙!$I$222</definedName>
    <definedName name="companycode211">変更別紙!$I$223</definedName>
    <definedName name="companycode212">変更別紙!$I$224</definedName>
    <definedName name="companycode213">変更別紙!$I$225</definedName>
    <definedName name="companycode214">変更別紙!$I$226</definedName>
    <definedName name="companycode215">変更別紙!$I$227</definedName>
    <definedName name="companycode216">変更別紙!$I$228</definedName>
    <definedName name="companycode217">変更別紙!$I$229</definedName>
    <definedName name="companycode218">変更別紙!$I$230</definedName>
    <definedName name="companycode219">変更別紙!$I$231</definedName>
    <definedName name="companycode220">変更別紙!$I$232</definedName>
    <definedName name="companycode221">変更別紙!$I$233</definedName>
    <definedName name="companycode222">変更別紙!$I$234</definedName>
    <definedName name="companycode223">変更別紙!$I$235</definedName>
    <definedName name="companycode224">変更別紙!$I$236</definedName>
    <definedName name="companycode225">変更別紙!$I$237</definedName>
    <definedName name="companycode226">変更別紙!$I$238</definedName>
    <definedName name="companycode227">変更別紙!$I$239</definedName>
    <definedName name="companycode228">変更別紙!$I$240</definedName>
    <definedName name="companycode229">変更別紙!$I$241</definedName>
    <definedName name="companycode230">変更別紙!$I$242</definedName>
    <definedName name="companycode231">変更別紙!$I$243</definedName>
    <definedName name="companycode232">変更別紙!$I$244</definedName>
    <definedName name="companycode233">変更別紙!$I$245</definedName>
    <definedName name="companycode234">変更別紙!$I$246</definedName>
    <definedName name="companycode235">変更別紙!$I$247</definedName>
    <definedName name="companycode236">変更別紙!$I$248</definedName>
    <definedName name="companycode237">変更別紙!$I$249</definedName>
    <definedName name="companycode238">変更別紙!$I$250</definedName>
    <definedName name="companycode239">変更別紙!$I$251</definedName>
    <definedName name="companycode240">変更別紙!$I$252</definedName>
    <definedName name="companycode241">変更別紙!$I$253</definedName>
    <definedName name="companycode242">変更別紙!$I$254</definedName>
    <definedName name="companycode243">変更別紙!$I$255</definedName>
    <definedName name="companycode244">変更別紙!$I$256</definedName>
    <definedName name="companycode245">変更別紙!$I$257</definedName>
    <definedName name="companycode246">変更別紙!$I$258</definedName>
    <definedName name="companycode247">変更別紙!$I$259</definedName>
    <definedName name="companycode248">変更別紙!$I$260</definedName>
    <definedName name="companycode249">変更別紙!$I$261</definedName>
    <definedName name="companycode250">変更別紙!$I$262</definedName>
    <definedName name="companycode251">変更別紙!#REF!</definedName>
    <definedName name="companycode252">変更別紙!#REF!</definedName>
    <definedName name="companycode253">変更別紙!#REF!</definedName>
    <definedName name="companycode254">変更別紙!#REF!</definedName>
    <definedName name="companycode255">変更別紙!#REF!</definedName>
    <definedName name="companycode256">変更別紙!#REF!</definedName>
    <definedName name="companycode257">変更別紙!#REF!</definedName>
    <definedName name="companycode258">変更別紙!#REF!</definedName>
    <definedName name="companycode259">変更別紙!#REF!</definedName>
    <definedName name="companycode260">変更別紙!#REF!</definedName>
    <definedName name="companycode261">変更別紙!#REF!</definedName>
    <definedName name="companycode262">変更別紙!#REF!</definedName>
    <definedName name="companycode263">変更別紙!#REF!</definedName>
    <definedName name="companycode264">変更別紙!#REF!</definedName>
    <definedName name="companycode265">変更別紙!#REF!</definedName>
    <definedName name="companycode266">変更別紙!#REF!</definedName>
    <definedName name="companycode267">変更別紙!#REF!</definedName>
    <definedName name="companycode268">変更別紙!#REF!</definedName>
    <definedName name="companycode269">変更別紙!#REF!</definedName>
    <definedName name="companycode270">変更別紙!#REF!</definedName>
    <definedName name="companycode271">変更別紙!#REF!</definedName>
    <definedName name="companycode272">変更別紙!#REF!</definedName>
    <definedName name="companycode273">変更別紙!#REF!</definedName>
    <definedName name="companycode274">変更別紙!#REF!</definedName>
    <definedName name="companycode275">変更別紙!#REF!</definedName>
    <definedName name="companycode276">変更別紙!#REF!</definedName>
    <definedName name="companycode277">変更別紙!#REF!</definedName>
    <definedName name="companycode278">変更別紙!#REF!</definedName>
    <definedName name="companycode279">変更別紙!#REF!</definedName>
    <definedName name="companycode280">変更別紙!#REF!</definedName>
    <definedName name="companycode281">変更別紙!#REF!</definedName>
    <definedName name="companycode282">変更別紙!#REF!</definedName>
    <definedName name="companycode283">変更別紙!#REF!</definedName>
    <definedName name="companycode284">変更別紙!#REF!</definedName>
    <definedName name="companycode285">変更別紙!#REF!</definedName>
    <definedName name="companycode286">変更別紙!#REF!</definedName>
    <definedName name="companycode287">変更別紙!#REF!</definedName>
    <definedName name="companycode288">変更別紙!#REF!</definedName>
    <definedName name="companycode289">変更別紙!#REF!</definedName>
    <definedName name="companycode290">変更別紙!#REF!</definedName>
    <definedName name="companycode291">変更別紙!#REF!</definedName>
    <definedName name="companycode292">変更別紙!#REF!</definedName>
    <definedName name="companycode293">変更別紙!#REF!</definedName>
    <definedName name="companycode294">変更別紙!#REF!</definedName>
    <definedName name="companycode295">変更別紙!#REF!</definedName>
    <definedName name="companycode296">変更別紙!#REF!</definedName>
    <definedName name="companycode297">変更別紙!#REF!</definedName>
    <definedName name="companycode298">変更別紙!#REF!</definedName>
    <definedName name="companycode299">変更別紙!#REF!</definedName>
    <definedName name="companycode300">変更別紙!#REF!</definedName>
    <definedName name="companycode301">変更別紙!#REF!</definedName>
    <definedName name="companycode302">変更別紙!#REF!</definedName>
    <definedName name="companycode303">変更別紙!#REF!</definedName>
    <definedName name="companycode304">変更別紙!#REF!</definedName>
    <definedName name="companycode305">変更別紙!#REF!</definedName>
    <definedName name="companycode306">変更別紙!#REF!</definedName>
    <definedName name="companycode307">変更別紙!#REF!</definedName>
    <definedName name="companycode308">変更別紙!#REF!</definedName>
    <definedName name="companycode309">変更別紙!#REF!</definedName>
    <definedName name="companycode310">変更別紙!#REF!</definedName>
    <definedName name="companycode311">変更別紙!#REF!</definedName>
    <definedName name="companycode312">変更別紙!#REF!</definedName>
    <definedName name="companycode313">変更別紙!#REF!</definedName>
    <definedName name="companycode314">変更別紙!#REF!</definedName>
    <definedName name="companycode315">変更別紙!#REF!</definedName>
    <definedName name="companycode316">変更別紙!#REF!</definedName>
    <definedName name="companycode317">変更別紙!#REF!</definedName>
    <definedName name="companycode318">変更別紙!#REF!</definedName>
    <definedName name="companycode319">変更別紙!#REF!</definedName>
    <definedName name="companycode320">変更別紙!#REF!</definedName>
    <definedName name="companycode321">変更別紙!#REF!</definedName>
    <definedName name="companycode322">変更別紙!#REF!</definedName>
    <definedName name="companycode323">変更別紙!#REF!</definedName>
    <definedName name="companycode324">変更別紙!#REF!</definedName>
    <definedName name="companycode325">変更別紙!#REF!</definedName>
    <definedName name="companycode326">変更別紙!#REF!</definedName>
    <definedName name="companycode327">変更別紙!#REF!</definedName>
    <definedName name="companycode328">変更別紙!#REF!</definedName>
    <definedName name="companycode329">変更別紙!#REF!</definedName>
    <definedName name="companycode330">変更別紙!#REF!</definedName>
    <definedName name="companycode331">変更別紙!#REF!</definedName>
    <definedName name="companycode332">変更別紙!#REF!</definedName>
    <definedName name="companycode333">変更別紙!#REF!</definedName>
    <definedName name="companycode334">変更別紙!#REF!</definedName>
    <definedName name="companycode335">変更別紙!#REF!</definedName>
    <definedName name="companycode336">変更別紙!#REF!</definedName>
    <definedName name="companycode337">変更別紙!#REF!</definedName>
    <definedName name="companycode338">変更別紙!#REF!</definedName>
    <definedName name="companycode339">変更別紙!#REF!</definedName>
    <definedName name="companycode340">変更別紙!#REF!</definedName>
    <definedName name="companycode341">変更別紙!#REF!</definedName>
    <definedName name="companycode342">変更別紙!#REF!</definedName>
    <definedName name="companycode343">変更別紙!#REF!</definedName>
    <definedName name="companycode344">変更別紙!#REF!</definedName>
    <definedName name="companycode345">変更別紙!#REF!</definedName>
    <definedName name="companycode346">変更別紙!#REF!</definedName>
    <definedName name="companycode347">変更別紙!#REF!</definedName>
    <definedName name="companycode348">変更別紙!#REF!</definedName>
    <definedName name="companycode349">変更別紙!#REF!</definedName>
    <definedName name="companycode350">変更別紙!#REF!</definedName>
    <definedName name="companycode351">変更別紙!#REF!</definedName>
    <definedName name="companycode352">変更別紙!#REF!</definedName>
    <definedName name="companycode353">変更別紙!#REF!</definedName>
    <definedName name="companycode354">変更別紙!#REF!</definedName>
    <definedName name="companycode355">変更別紙!#REF!</definedName>
    <definedName name="companycode356">変更別紙!#REF!</definedName>
    <definedName name="companycode357">変更別紙!#REF!</definedName>
    <definedName name="companycode358">変更別紙!#REF!</definedName>
    <definedName name="companycode359">変更別紙!#REF!</definedName>
    <definedName name="companycode360">変更別紙!#REF!</definedName>
    <definedName name="companycode361">変更別紙!#REF!</definedName>
    <definedName name="companycode362">変更別紙!#REF!</definedName>
    <definedName name="companycode363">変更別紙!#REF!</definedName>
    <definedName name="companycode364">変更別紙!#REF!</definedName>
    <definedName name="companycode365">変更別紙!#REF!</definedName>
    <definedName name="companycode366">変更別紙!#REF!</definedName>
    <definedName name="companycode367">変更別紙!#REF!</definedName>
    <definedName name="companycode368">変更別紙!#REF!</definedName>
    <definedName name="companycode369">変更別紙!#REF!</definedName>
    <definedName name="companycode370">変更別紙!#REF!</definedName>
    <definedName name="companycode371">変更別紙!#REF!</definedName>
    <definedName name="companycode372">変更別紙!#REF!</definedName>
    <definedName name="companycode373">変更別紙!#REF!</definedName>
    <definedName name="companycode374">変更別紙!#REF!</definedName>
    <definedName name="companycode375">変更別紙!#REF!</definedName>
    <definedName name="companycode376">変更別紙!#REF!</definedName>
    <definedName name="companycode377">変更別紙!#REF!</definedName>
    <definedName name="companycode378">変更別紙!#REF!</definedName>
    <definedName name="companycode379">変更別紙!#REF!</definedName>
    <definedName name="companycode380">変更別紙!#REF!</definedName>
    <definedName name="companycode381">変更別紙!#REF!</definedName>
    <definedName name="companycode382">変更別紙!#REF!</definedName>
    <definedName name="companycode383">変更別紙!#REF!</definedName>
    <definedName name="companycode384">変更別紙!#REF!</definedName>
    <definedName name="companycode385">変更別紙!#REF!</definedName>
    <definedName name="companycode386">変更別紙!#REF!</definedName>
    <definedName name="companycode387">変更別紙!#REF!</definedName>
    <definedName name="companycode388">変更別紙!#REF!</definedName>
    <definedName name="companycode389">変更別紙!#REF!</definedName>
    <definedName name="companycode390">変更別紙!#REF!</definedName>
    <definedName name="companycode391">変更別紙!#REF!</definedName>
    <definedName name="companycode392">変更別紙!#REF!</definedName>
    <definedName name="companycode393">変更別紙!#REF!</definedName>
    <definedName name="companycode394">変更別紙!#REF!</definedName>
    <definedName name="companycode395">変更別紙!#REF!</definedName>
    <definedName name="companycode396">変更別紙!#REF!</definedName>
    <definedName name="companycode397">変更別紙!#REF!</definedName>
    <definedName name="companycode398">変更別紙!#REF!</definedName>
    <definedName name="companycode399">変更別紙!#REF!</definedName>
    <definedName name="companycode400">変更別紙!#REF!</definedName>
    <definedName name="companycode401">変更別紙!#REF!</definedName>
    <definedName name="companycode402">変更別紙!#REF!</definedName>
    <definedName name="companycode403">変更別紙!#REF!</definedName>
    <definedName name="companycode404">変更別紙!#REF!</definedName>
    <definedName name="companycode405">変更別紙!#REF!</definedName>
    <definedName name="companycode406">変更別紙!#REF!</definedName>
    <definedName name="companycode407">変更別紙!#REF!</definedName>
    <definedName name="companycode408">変更別紙!#REF!</definedName>
    <definedName name="companycode409">変更別紙!#REF!</definedName>
    <definedName name="companycode410">変更別紙!#REF!</definedName>
    <definedName name="companycode411">変更別紙!#REF!</definedName>
    <definedName name="companycode412">変更別紙!#REF!</definedName>
    <definedName name="companycode413">変更別紙!#REF!</definedName>
    <definedName name="companycode414">変更別紙!#REF!</definedName>
    <definedName name="companycode415">変更別紙!#REF!</definedName>
    <definedName name="companycode416">変更別紙!#REF!</definedName>
    <definedName name="companycode417">変更別紙!#REF!</definedName>
    <definedName name="companycode418">変更別紙!#REF!</definedName>
    <definedName name="companycode419">変更別紙!#REF!</definedName>
    <definedName name="companycode420">変更別紙!#REF!</definedName>
    <definedName name="companycode421">変更別紙!#REF!</definedName>
    <definedName name="companycode422">変更別紙!#REF!</definedName>
    <definedName name="companycode423">変更別紙!#REF!</definedName>
    <definedName name="companycode424">変更別紙!#REF!</definedName>
    <definedName name="companycode425">変更別紙!#REF!</definedName>
    <definedName name="companycode426">変更別紙!#REF!</definedName>
    <definedName name="companycode427">変更別紙!#REF!</definedName>
    <definedName name="companycode428">変更別紙!#REF!</definedName>
    <definedName name="companycode429">変更別紙!#REF!</definedName>
    <definedName name="companycode430">変更別紙!#REF!</definedName>
    <definedName name="companycode431">変更別紙!#REF!</definedName>
    <definedName name="companycode432">変更別紙!#REF!</definedName>
    <definedName name="companycode433">変更別紙!#REF!</definedName>
    <definedName name="companycode434">変更別紙!#REF!</definedName>
    <definedName name="companycode435">変更別紙!#REF!</definedName>
    <definedName name="companycode436">変更別紙!#REF!</definedName>
    <definedName name="companycode437">変更別紙!#REF!</definedName>
    <definedName name="companycode438">変更別紙!#REF!</definedName>
    <definedName name="companycode439">変更別紙!#REF!</definedName>
    <definedName name="companycode440">変更別紙!#REF!</definedName>
    <definedName name="companycode441">変更別紙!#REF!</definedName>
    <definedName name="companycode442">変更別紙!#REF!</definedName>
    <definedName name="companycode443">変更別紙!#REF!</definedName>
    <definedName name="companycode444">変更別紙!#REF!</definedName>
    <definedName name="companycode445">変更別紙!#REF!</definedName>
    <definedName name="companycode446">変更別紙!#REF!</definedName>
    <definedName name="companycode447">変更別紙!#REF!</definedName>
    <definedName name="companycode448">変更別紙!#REF!</definedName>
    <definedName name="companycode449">変更別紙!#REF!</definedName>
    <definedName name="companycode450">変更別紙!#REF!</definedName>
    <definedName name="companycode451">変更別紙!#REF!</definedName>
    <definedName name="companycode452">変更別紙!#REF!</definedName>
    <definedName name="companycode453">変更別紙!#REF!</definedName>
    <definedName name="companycode454">変更別紙!#REF!</definedName>
    <definedName name="companycode455">変更別紙!#REF!</definedName>
    <definedName name="companycode456">変更別紙!#REF!</definedName>
    <definedName name="companycode457">変更別紙!#REF!</definedName>
    <definedName name="companycode458">変更別紙!#REF!</definedName>
    <definedName name="companycode459">変更別紙!#REF!</definedName>
    <definedName name="companycode460">変更別紙!#REF!</definedName>
    <definedName name="companycode461">変更別紙!#REF!</definedName>
    <definedName name="companycode462">変更別紙!#REF!</definedName>
    <definedName name="companycode463">変更別紙!#REF!</definedName>
    <definedName name="companycode464">変更別紙!#REF!</definedName>
    <definedName name="companycode465">変更別紙!#REF!</definedName>
    <definedName name="companycode466">変更別紙!#REF!</definedName>
    <definedName name="companycode467">変更別紙!#REF!</definedName>
    <definedName name="companycode468">変更別紙!#REF!</definedName>
    <definedName name="companycode469">変更別紙!#REF!</definedName>
    <definedName name="companycode470">変更別紙!#REF!</definedName>
    <definedName name="companycode471">変更別紙!#REF!</definedName>
    <definedName name="companycode472">変更別紙!#REF!</definedName>
    <definedName name="companycode473">変更別紙!#REF!</definedName>
    <definedName name="companycode474">変更別紙!#REF!</definedName>
    <definedName name="companycode475">変更別紙!#REF!</definedName>
    <definedName name="companycode476">変更別紙!#REF!</definedName>
    <definedName name="companycode477">変更別紙!#REF!</definedName>
    <definedName name="companycode478">変更別紙!#REF!</definedName>
    <definedName name="companycode479">変更別紙!#REF!</definedName>
    <definedName name="companycode480">変更別紙!#REF!</definedName>
    <definedName name="companycode481">変更別紙!#REF!</definedName>
    <definedName name="companycode482">変更別紙!#REF!</definedName>
    <definedName name="companycode483">変更別紙!#REF!</definedName>
    <definedName name="companycode484">変更別紙!#REF!</definedName>
    <definedName name="companycode485">変更別紙!#REF!</definedName>
    <definedName name="companycode486">変更別紙!#REF!</definedName>
    <definedName name="companycode487">変更別紙!#REF!</definedName>
    <definedName name="companycode488">変更別紙!#REF!</definedName>
    <definedName name="companycode489">変更別紙!#REF!</definedName>
    <definedName name="companycode490">変更別紙!#REF!</definedName>
    <definedName name="companycode491">変更別紙!#REF!</definedName>
    <definedName name="companycode492">変更別紙!#REF!</definedName>
    <definedName name="companycode493">変更別紙!#REF!</definedName>
    <definedName name="companycode494">変更別紙!#REF!</definedName>
    <definedName name="companycode495">変更別紙!#REF!</definedName>
    <definedName name="companycode496">変更別紙!#REF!</definedName>
    <definedName name="companycode497">変更別紙!#REF!</definedName>
    <definedName name="companycode498">変更別紙!#REF!</definedName>
    <definedName name="companycode499">変更別紙!#REF!</definedName>
    <definedName name="companycode500">変更別紙!#REF!</definedName>
    <definedName name="companyyn001">変更別紙!$H$13</definedName>
    <definedName name="companyyn002">変更別紙!$H$14</definedName>
    <definedName name="companyyn003">変更別紙!$H$15</definedName>
    <definedName name="companyyn004">変更別紙!$H$16</definedName>
    <definedName name="companyyn005">変更別紙!$H$17</definedName>
    <definedName name="companyyn006">変更別紙!$H$18</definedName>
    <definedName name="companyyn007">変更別紙!$H$19</definedName>
    <definedName name="companyyn008">変更別紙!$H$20</definedName>
    <definedName name="companyyn009">変更別紙!$H$21</definedName>
    <definedName name="companyyn010">変更別紙!$H$22</definedName>
    <definedName name="companyyn011">変更別紙!$H$23</definedName>
    <definedName name="companyyn012">変更別紙!$H$24</definedName>
    <definedName name="companyyn013">変更別紙!$H$25</definedName>
    <definedName name="companyyn014">変更別紙!$H$26</definedName>
    <definedName name="companyyn015">変更別紙!$H$27</definedName>
    <definedName name="companyyn016">変更別紙!$H$28</definedName>
    <definedName name="companyyn017">変更別紙!$H$29</definedName>
    <definedName name="companyyn018">変更別紙!$H$30</definedName>
    <definedName name="companyyn019">変更別紙!$H$31</definedName>
    <definedName name="companyyn020">変更別紙!$H$32</definedName>
    <definedName name="companyyn021">変更別紙!$H$33</definedName>
    <definedName name="companyyn022">変更別紙!$H$34</definedName>
    <definedName name="companyyn023">変更別紙!$H$35</definedName>
    <definedName name="companyyn024">変更別紙!$H$36</definedName>
    <definedName name="companyyn025">変更別紙!$H$37</definedName>
    <definedName name="companyyn026">変更別紙!$H$38</definedName>
    <definedName name="companyyn027">変更別紙!$H$39</definedName>
    <definedName name="companyyn028">変更別紙!$H$40</definedName>
    <definedName name="companyyn029">変更別紙!$H$41</definedName>
    <definedName name="companyyn030">変更別紙!$H$42</definedName>
    <definedName name="companyyn031">変更別紙!$H$43</definedName>
    <definedName name="companyyn032">変更別紙!$H$44</definedName>
    <definedName name="companyyn033">変更別紙!$H$45</definedName>
    <definedName name="companyyn034">変更別紙!$H$46</definedName>
    <definedName name="companyyn035">変更別紙!$H$47</definedName>
    <definedName name="companyyn036">変更別紙!$H$48</definedName>
    <definedName name="companyyn037">変更別紙!$H$49</definedName>
    <definedName name="companyyn038">変更別紙!$H$50</definedName>
    <definedName name="companyyn039">変更別紙!$H$51</definedName>
    <definedName name="companyyn040">変更別紙!$H$52</definedName>
    <definedName name="companyyn041">変更別紙!$H$53</definedName>
    <definedName name="companyyn042">変更別紙!$H$54</definedName>
    <definedName name="companyyn043">変更別紙!$H$55</definedName>
    <definedName name="companyyn044">変更別紙!$H$56</definedName>
    <definedName name="companyyn045">変更別紙!$H$57</definedName>
    <definedName name="companyyn046">変更別紙!$H$58</definedName>
    <definedName name="companyyn047">変更別紙!$H$59</definedName>
    <definedName name="companyyn048">変更別紙!$H$60</definedName>
    <definedName name="companyyn049">変更別紙!$H$61</definedName>
    <definedName name="companyyn050">変更別紙!$H$62</definedName>
    <definedName name="companyyn051">変更別紙!$H$63</definedName>
    <definedName name="companyyn052">変更別紙!$H$64</definedName>
    <definedName name="companyyn053">変更別紙!$H$65</definedName>
    <definedName name="companyyn054">変更別紙!$H$66</definedName>
    <definedName name="companyyn055">変更別紙!$H$67</definedName>
    <definedName name="companyyn056">変更別紙!$H$68</definedName>
    <definedName name="companyyn057">変更別紙!$H$69</definedName>
    <definedName name="companyyn058">変更別紙!$H$70</definedName>
    <definedName name="companyyn059">変更別紙!$H$71</definedName>
    <definedName name="companyyn060">変更別紙!$H$72</definedName>
    <definedName name="companyyn061">変更別紙!$H$73</definedName>
    <definedName name="companyyn062">変更別紙!$H$74</definedName>
    <definedName name="companyyn063">変更別紙!$H$75</definedName>
    <definedName name="companyyn064">変更別紙!$H$76</definedName>
    <definedName name="companyyn065">変更別紙!$H$77</definedName>
    <definedName name="companyyn066">変更別紙!$H$78</definedName>
    <definedName name="companyyn067">変更別紙!$H$79</definedName>
    <definedName name="companyyn068">変更別紙!$H$80</definedName>
    <definedName name="companyyn069">変更別紙!$H$81</definedName>
    <definedName name="companyyn070">変更別紙!$H$82</definedName>
    <definedName name="companyyn071">変更別紙!$H$83</definedName>
    <definedName name="companyyn072">変更別紙!$H$84</definedName>
    <definedName name="companyyn073">変更別紙!$H$85</definedName>
    <definedName name="companyyn074">変更別紙!$H$86</definedName>
    <definedName name="companyyn075">変更別紙!$H$87</definedName>
    <definedName name="companyyn076">変更別紙!$H$88</definedName>
    <definedName name="companyyn077">変更別紙!$H$89</definedName>
    <definedName name="companyyn078">変更別紙!$H$90</definedName>
    <definedName name="companyyn079">変更別紙!$H$91</definedName>
    <definedName name="companyyn080">変更別紙!$H$92</definedName>
    <definedName name="companyyn081">変更別紙!$H$93</definedName>
    <definedName name="companyyn082">変更別紙!$H$94</definedName>
    <definedName name="companyyn083">変更別紙!$H$95</definedName>
    <definedName name="companyyn084">変更別紙!$H$96</definedName>
    <definedName name="companyyn085">変更別紙!$H$97</definedName>
    <definedName name="companyyn086">変更別紙!$H$98</definedName>
    <definedName name="companyyn087">変更別紙!$H$99</definedName>
    <definedName name="companyyn088">変更別紙!$H$100</definedName>
    <definedName name="companyyn089">変更別紙!$H$101</definedName>
    <definedName name="companyyn090">変更別紙!$H$102</definedName>
    <definedName name="companyyn091">変更別紙!$H$103</definedName>
    <definedName name="companyyn092">変更別紙!$H$104</definedName>
    <definedName name="companyyn093">変更別紙!$H$105</definedName>
    <definedName name="companyyn094">変更別紙!$H$106</definedName>
    <definedName name="companyyn095">変更別紙!$H$107</definedName>
    <definedName name="companyyn096">変更別紙!$H$108</definedName>
    <definedName name="companyyn097">変更別紙!$H$109</definedName>
    <definedName name="companyyn098">変更別紙!$H$110</definedName>
    <definedName name="companyyn099">変更別紙!$H$111</definedName>
    <definedName name="companyyn100">変更別紙!$H$112</definedName>
    <definedName name="companyyn101">変更別紙!$H$113</definedName>
    <definedName name="companyyn102">変更別紙!$H$114</definedName>
    <definedName name="companyyn103">変更別紙!$H$115</definedName>
    <definedName name="companyyn104">変更別紙!$H$116</definedName>
    <definedName name="companyyn105">変更別紙!$H$117</definedName>
    <definedName name="companyyn106">変更別紙!$H$118</definedName>
    <definedName name="companyyn107">変更別紙!$H$119</definedName>
    <definedName name="companyyn108">変更別紙!$H$120</definedName>
    <definedName name="companyyn109">変更別紙!$H$121</definedName>
    <definedName name="companyyn110">変更別紙!$H$122</definedName>
    <definedName name="companyyn111">変更別紙!$H$123</definedName>
    <definedName name="companyyn112">変更別紙!$H$124</definedName>
    <definedName name="companyyn113">変更別紙!$H$125</definedName>
    <definedName name="companyyn114">変更別紙!$H$126</definedName>
    <definedName name="companyyn115">変更別紙!$H$127</definedName>
    <definedName name="companyyn116">変更別紙!$H$128</definedName>
    <definedName name="companyyn117">変更別紙!$H$129</definedName>
    <definedName name="companyyn118">変更別紙!$H$130</definedName>
    <definedName name="companyyn119">変更別紙!$H$131</definedName>
    <definedName name="companyyn120">変更別紙!$H$132</definedName>
    <definedName name="companyyn121">変更別紙!$H$133</definedName>
    <definedName name="companyyn122">変更別紙!$H$134</definedName>
    <definedName name="companyyn123">変更別紙!$H$135</definedName>
    <definedName name="companyyn124">変更別紙!$H$136</definedName>
    <definedName name="companyyn125">変更別紙!$H$137</definedName>
    <definedName name="companyyn126">変更別紙!$H$138</definedName>
    <definedName name="companyyn127">変更別紙!$H$139</definedName>
    <definedName name="companyyn128">変更別紙!$H$140</definedName>
    <definedName name="companyyn129">変更別紙!$H$141</definedName>
    <definedName name="companyyn130">変更別紙!$H$142</definedName>
    <definedName name="companyyn131">変更別紙!$H$143</definedName>
    <definedName name="companyyn132">変更別紙!$H$144</definedName>
    <definedName name="companyyn133">変更別紙!$H$145</definedName>
    <definedName name="companyyn134">変更別紙!$H$146</definedName>
    <definedName name="companyyn135">変更別紙!$H$147</definedName>
    <definedName name="companyyn136">変更別紙!$H$148</definedName>
    <definedName name="companyyn137">変更別紙!$H$149</definedName>
    <definedName name="companyyn138">変更別紙!$H$150</definedName>
    <definedName name="companyyn139">変更別紙!$H$151</definedName>
    <definedName name="companyyn140">変更別紙!$H$152</definedName>
    <definedName name="companyyn141">変更別紙!$H$153</definedName>
    <definedName name="companyyn142">変更別紙!$H$154</definedName>
    <definedName name="companyyn143">変更別紙!$H$155</definedName>
    <definedName name="companyyn144">変更別紙!$H$156</definedName>
    <definedName name="companyyn145">変更別紙!$H$157</definedName>
    <definedName name="companyyn146">変更別紙!$H$158</definedName>
    <definedName name="companyyn147">変更別紙!$H$159</definedName>
    <definedName name="companyyn148">変更別紙!$H$160</definedName>
    <definedName name="companyyn149">変更別紙!$H$161</definedName>
    <definedName name="companyyn150">変更別紙!$H$162</definedName>
    <definedName name="companyyn151">変更別紙!$H$163</definedName>
    <definedName name="companyyn152">変更別紙!$H$164</definedName>
    <definedName name="companyyn153">変更別紙!$H$165</definedName>
    <definedName name="companyyn154">変更別紙!$H$166</definedName>
    <definedName name="companyyn155">変更別紙!$H$167</definedName>
    <definedName name="companyyn156">変更別紙!$H$168</definedName>
    <definedName name="companyyn157">変更別紙!$H$169</definedName>
    <definedName name="companyyn158">変更別紙!$H$170</definedName>
    <definedName name="companyyn159">変更別紙!$H$171</definedName>
    <definedName name="companyyn160">変更別紙!$H$172</definedName>
    <definedName name="companyyn161">変更別紙!$H$173</definedName>
    <definedName name="companyyn162">変更別紙!$H$174</definedName>
    <definedName name="companyyn163">変更別紙!$H$175</definedName>
    <definedName name="companyyn164">変更別紙!$H$176</definedName>
    <definedName name="companyyn165">変更別紙!$H$177</definedName>
    <definedName name="companyyn166">変更別紙!$H$178</definedName>
    <definedName name="companyyn167">変更別紙!$H$179</definedName>
    <definedName name="companyyn168">変更別紙!$H$180</definedName>
    <definedName name="companyyn169">変更別紙!$H$181</definedName>
    <definedName name="companyyn170">変更別紙!$H$182</definedName>
    <definedName name="companyyn171">変更別紙!$H$183</definedName>
    <definedName name="companyyn172">変更別紙!$H$184</definedName>
    <definedName name="companyyn173">変更別紙!$H$185</definedName>
    <definedName name="companyyn174">変更別紙!$H$186</definedName>
    <definedName name="companyyn175">変更別紙!$H$187</definedName>
    <definedName name="companyyn176">変更別紙!$H$188</definedName>
    <definedName name="companyyn177">変更別紙!$H$189</definedName>
    <definedName name="companyyn178">変更別紙!$H$190</definedName>
    <definedName name="companyyn179">変更別紙!$H$191</definedName>
    <definedName name="companyyn180">変更別紙!$H$192</definedName>
    <definedName name="companyyn181">変更別紙!$H$193</definedName>
    <definedName name="companyyn182">変更別紙!$H$194</definedName>
    <definedName name="companyyn183">変更別紙!$H$195</definedName>
    <definedName name="companyyn184">変更別紙!$H$196</definedName>
    <definedName name="companyyn185">変更別紙!$H$197</definedName>
    <definedName name="companyyn186">変更別紙!$H$198</definedName>
    <definedName name="companyyn187">変更別紙!$H$199</definedName>
    <definedName name="companyyn188">変更別紙!$H$200</definedName>
    <definedName name="companyyn189">変更別紙!$H$201</definedName>
    <definedName name="companyyn190">変更別紙!$H$202</definedName>
    <definedName name="companyyn191">変更別紙!$H$203</definedName>
    <definedName name="companyyn192">変更別紙!$H$204</definedName>
    <definedName name="companyyn193">変更別紙!$H$205</definedName>
    <definedName name="companyyn194">変更別紙!$H$206</definedName>
    <definedName name="companyyn195">変更別紙!$H$207</definedName>
    <definedName name="companyyn196">変更別紙!$H$208</definedName>
    <definedName name="companyyn197">変更別紙!$H$209</definedName>
    <definedName name="companyyn198">変更別紙!$H$210</definedName>
    <definedName name="companyyn199">変更別紙!$H$211</definedName>
    <definedName name="companyyn200">変更別紙!$H$212</definedName>
    <definedName name="companyyn201">変更別紙!$H$213</definedName>
    <definedName name="companyyn202">変更別紙!$H$214</definedName>
    <definedName name="companyyn203">変更別紙!$H$215</definedName>
    <definedName name="companyyn204">変更別紙!$H$216</definedName>
    <definedName name="companyyn205">変更別紙!$H$217</definedName>
    <definedName name="companyyn206">変更別紙!$H$218</definedName>
    <definedName name="companyyn207">変更別紙!$H$219</definedName>
    <definedName name="companyyn208">変更別紙!$H$220</definedName>
    <definedName name="companyyn209">変更別紙!$H$221</definedName>
    <definedName name="companyyn210">変更別紙!$H$222</definedName>
    <definedName name="companyyn211">変更別紙!$H$223</definedName>
    <definedName name="companyyn212">変更別紙!$H$224</definedName>
    <definedName name="companyyn213">変更別紙!$H$225</definedName>
    <definedName name="companyyn214">変更別紙!$H$226</definedName>
    <definedName name="companyyn215">変更別紙!$H$227</definedName>
    <definedName name="companyyn216">変更別紙!$H$228</definedName>
    <definedName name="companyyn217">変更別紙!$H$229</definedName>
    <definedName name="companyyn218">変更別紙!$H$230</definedName>
    <definedName name="companyyn219">変更別紙!$H$231</definedName>
    <definedName name="companyyn220">変更別紙!$H$232</definedName>
    <definedName name="companyyn221">変更別紙!$H$233</definedName>
    <definedName name="companyyn222">変更別紙!$H$234</definedName>
    <definedName name="companyyn223">変更別紙!$H$235</definedName>
    <definedName name="companyyn224">変更別紙!$H$236</definedName>
    <definedName name="companyyn225">変更別紙!$H$237</definedName>
    <definedName name="companyyn226">変更別紙!$H$238</definedName>
    <definedName name="companyyn227">変更別紙!$H$239</definedName>
    <definedName name="companyyn228">変更別紙!$H$240</definedName>
    <definedName name="companyyn229">変更別紙!$H$241</definedName>
    <definedName name="companyyn230">変更別紙!$H$242</definedName>
    <definedName name="companyyn231">変更別紙!$H$243</definedName>
    <definedName name="companyyn232">変更別紙!$H$244</definedName>
    <definedName name="companyyn233">変更別紙!$H$245</definedName>
    <definedName name="companyyn234">変更別紙!$H$246</definedName>
    <definedName name="companyyn235">変更別紙!$H$247</definedName>
    <definedName name="companyyn236">変更別紙!$H$248</definedName>
    <definedName name="companyyn237">変更別紙!$H$249</definedName>
    <definedName name="companyyn238">変更別紙!$H$250</definedName>
    <definedName name="companyyn239">変更別紙!$H$251</definedName>
    <definedName name="companyyn240">変更別紙!$H$252</definedName>
    <definedName name="companyyn241">変更別紙!$H$253</definedName>
    <definedName name="companyyn242">変更別紙!$H$254</definedName>
    <definedName name="companyyn243">変更別紙!$H$255</definedName>
    <definedName name="companyyn244">変更別紙!$H$256</definedName>
    <definedName name="companyyn245">変更別紙!$H$257</definedName>
    <definedName name="companyyn246">変更別紙!$H$258</definedName>
    <definedName name="companyyn247">変更別紙!$H$259</definedName>
    <definedName name="companyyn248">変更別紙!$H$260</definedName>
    <definedName name="companyyn249">変更別紙!$H$261</definedName>
    <definedName name="companyyn250">変更別紙!$H$262</definedName>
    <definedName name="companyyn251">変更別紙!#REF!</definedName>
    <definedName name="companyyn252">変更別紙!#REF!</definedName>
    <definedName name="companyyn253">変更別紙!#REF!</definedName>
    <definedName name="companyyn254">変更別紙!#REF!</definedName>
    <definedName name="companyyn255">変更別紙!#REF!</definedName>
    <definedName name="companyyn256">変更別紙!#REF!</definedName>
    <definedName name="companyyn257">変更別紙!#REF!</definedName>
    <definedName name="companyyn258">変更別紙!#REF!</definedName>
    <definedName name="companyyn259">変更別紙!#REF!</definedName>
    <definedName name="companyyn260">変更別紙!#REF!</definedName>
    <definedName name="companyyn261">変更別紙!#REF!</definedName>
    <definedName name="companyyn262">変更別紙!#REF!</definedName>
    <definedName name="companyyn263">変更別紙!#REF!</definedName>
    <definedName name="companyyn264">変更別紙!#REF!</definedName>
    <definedName name="companyyn265">変更別紙!#REF!</definedName>
    <definedName name="companyyn266">変更別紙!#REF!</definedName>
    <definedName name="companyyn267">変更別紙!#REF!</definedName>
    <definedName name="companyyn268">変更別紙!#REF!</definedName>
    <definedName name="companyyn269">変更別紙!#REF!</definedName>
    <definedName name="companyyn270">変更別紙!#REF!</definedName>
    <definedName name="companyyn271">変更別紙!#REF!</definedName>
    <definedName name="companyyn272">変更別紙!#REF!</definedName>
    <definedName name="companyyn273">変更別紙!#REF!</definedName>
    <definedName name="companyyn274">変更別紙!#REF!</definedName>
    <definedName name="companyyn275">変更別紙!#REF!</definedName>
    <definedName name="companyyn276">変更別紙!#REF!</definedName>
    <definedName name="companyyn277">変更別紙!#REF!</definedName>
    <definedName name="companyyn278">変更別紙!#REF!</definedName>
    <definedName name="companyyn279">変更別紙!#REF!</definedName>
    <definedName name="companyyn280">変更別紙!#REF!</definedName>
    <definedName name="companyyn281">変更別紙!#REF!</definedName>
    <definedName name="companyyn282">変更別紙!#REF!</definedName>
    <definedName name="companyyn283">変更別紙!#REF!</definedName>
    <definedName name="companyyn284">変更別紙!#REF!</definedName>
    <definedName name="companyyn285">変更別紙!#REF!</definedName>
    <definedName name="companyyn286">変更別紙!#REF!</definedName>
    <definedName name="companyyn287">変更別紙!#REF!</definedName>
    <definedName name="companyyn288">変更別紙!#REF!</definedName>
    <definedName name="companyyn289">変更別紙!#REF!</definedName>
    <definedName name="companyyn290">変更別紙!#REF!</definedName>
    <definedName name="companyyn291">変更別紙!#REF!</definedName>
    <definedName name="companyyn292">変更別紙!#REF!</definedName>
    <definedName name="companyyn293">変更別紙!#REF!</definedName>
    <definedName name="companyyn294">変更別紙!#REF!</definedName>
    <definedName name="companyyn295">変更別紙!#REF!</definedName>
    <definedName name="companyyn296">変更別紙!#REF!</definedName>
    <definedName name="companyyn297">変更別紙!#REF!</definedName>
    <definedName name="companyyn298">変更別紙!#REF!</definedName>
    <definedName name="companyyn299">変更別紙!#REF!</definedName>
    <definedName name="companyyn300">変更別紙!#REF!</definedName>
    <definedName name="companyyn301">変更別紙!#REF!</definedName>
    <definedName name="companyyn302">変更別紙!#REF!</definedName>
    <definedName name="companyyn303">変更別紙!#REF!</definedName>
    <definedName name="companyyn304">変更別紙!#REF!</definedName>
    <definedName name="companyyn305">変更別紙!#REF!</definedName>
    <definedName name="companyyn306">変更別紙!#REF!</definedName>
    <definedName name="companyyn307">変更別紙!#REF!</definedName>
    <definedName name="companyyn308">変更別紙!#REF!</definedName>
    <definedName name="companyyn309">変更別紙!#REF!</definedName>
    <definedName name="companyyn310">変更別紙!#REF!</definedName>
    <definedName name="companyyn311">変更別紙!#REF!</definedName>
    <definedName name="companyyn312">変更別紙!#REF!</definedName>
    <definedName name="companyyn313">変更別紙!#REF!</definedName>
    <definedName name="companyyn314">変更別紙!#REF!</definedName>
    <definedName name="companyyn315">変更別紙!#REF!</definedName>
    <definedName name="companyyn316">変更別紙!#REF!</definedName>
    <definedName name="companyyn317">変更別紙!#REF!</definedName>
    <definedName name="companyyn318">変更別紙!#REF!</definedName>
    <definedName name="companyyn319">変更別紙!#REF!</definedName>
    <definedName name="companyyn320">変更別紙!#REF!</definedName>
    <definedName name="companyyn321">変更別紙!#REF!</definedName>
    <definedName name="companyyn322">変更別紙!#REF!</definedName>
    <definedName name="companyyn323">変更別紙!#REF!</definedName>
    <definedName name="companyyn324">変更別紙!#REF!</definedName>
    <definedName name="companyyn325">変更別紙!#REF!</definedName>
    <definedName name="companyyn326">変更別紙!#REF!</definedName>
    <definedName name="companyyn327">変更別紙!#REF!</definedName>
    <definedName name="companyyn328">変更別紙!#REF!</definedName>
    <definedName name="companyyn329">変更別紙!#REF!</definedName>
    <definedName name="companyyn330">変更別紙!#REF!</definedName>
    <definedName name="companyyn331">変更別紙!#REF!</definedName>
    <definedName name="companyyn332">変更別紙!#REF!</definedName>
    <definedName name="companyyn333">変更別紙!#REF!</definedName>
    <definedName name="companyyn334">変更別紙!#REF!</definedName>
    <definedName name="companyyn335">変更別紙!#REF!</definedName>
    <definedName name="companyyn336">変更別紙!#REF!</definedName>
    <definedName name="companyyn337">変更別紙!#REF!</definedName>
    <definedName name="companyyn338">変更別紙!#REF!</definedName>
    <definedName name="companyyn339">変更別紙!#REF!</definedName>
    <definedName name="companyyn340">変更別紙!#REF!</definedName>
    <definedName name="companyyn341">変更別紙!#REF!</definedName>
    <definedName name="companyyn342">変更別紙!#REF!</definedName>
    <definedName name="companyyn343">変更別紙!#REF!</definedName>
    <definedName name="companyyn344">変更別紙!#REF!</definedName>
    <definedName name="companyyn345">変更別紙!#REF!</definedName>
    <definedName name="companyyn346">変更別紙!#REF!</definedName>
    <definedName name="companyyn347">変更別紙!#REF!</definedName>
    <definedName name="companyyn348">変更別紙!#REF!</definedName>
    <definedName name="companyyn349">変更別紙!#REF!</definedName>
    <definedName name="companyyn350">変更別紙!#REF!</definedName>
    <definedName name="companyyn351">変更別紙!#REF!</definedName>
    <definedName name="companyyn352">変更別紙!#REF!</definedName>
    <definedName name="companyyn353">変更別紙!#REF!</definedName>
    <definedName name="companyyn354">変更別紙!#REF!</definedName>
    <definedName name="companyyn355">変更別紙!#REF!</definedName>
    <definedName name="companyyn356">変更別紙!#REF!</definedName>
    <definedName name="companyyn357">変更別紙!#REF!</definedName>
    <definedName name="companyyn358">変更別紙!#REF!</definedName>
    <definedName name="companyyn359">変更別紙!#REF!</definedName>
    <definedName name="companyyn360">変更別紙!#REF!</definedName>
    <definedName name="companyyn361">変更別紙!#REF!</definedName>
    <definedName name="companyyn362">変更別紙!#REF!</definedName>
    <definedName name="companyyn363">変更別紙!#REF!</definedName>
    <definedName name="companyyn364">変更別紙!#REF!</definedName>
    <definedName name="companyyn365">変更別紙!#REF!</definedName>
    <definedName name="companyyn366">変更別紙!#REF!</definedName>
    <definedName name="companyyn367">変更別紙!#REF!</definedName>
    <definedName name="companyyn368">変更別紙!#REF!</definedName>
    <definedName name="companyyn369">変更別紙!#REF!</definedName>
    <definedName name="companyyn370">変更別紙!#REF!</definedName>
    <definedName name="companyyn371">変更別紙!#REF!</definedName>
    <definedName name="companyyn372">変更別紙!#REF!</definedName>
    <definedName name="companyyn373">変更別紙!#REF!</definedName>
    <definedName name="companyyn374">変更別紙!#REF!</definedName>
    <definedName name="companyyn375">変更別紙!#REF!</definedName>
    <definedName name="companyyn376">変更別紙!#REF!</definedName>
    <definedName name="companyyn377">変更別紙!#REF!</definedName>
    <definedName name="companyyn378">変更別紙!#REF!</definedName>
    <definedName name="companyyn379">変更別紙!#REF!</definedName>
    <definedName name="companyyn380">変更別紙!#REF!</definedName>
    <definedName name="companyyn381">変更別紙!#REF!</definedName>
    <definedName name="companyyn382">変更別紙!#REF!</definedName>
    <definedName name="companyyn383">変更別紙!#REF!</definedName>
    <definedName name="companyyn384">変更別紙!#REF!</definedName>
    <definedName name="companyyn385">変更別紙!#REF!</definedName>
    <definedName name="companyyn386">変更別紙!#REF!</definedName>
    <definedName name="companyyn387">変更別紙!#REF!</definedName>
    <definedName name="companyyn388">変更別紙!#REF!</definedName>
    <definedName name="companyyn389">変更別紙!#REF!</definedName>
    <definedName name="companyyn390">変更別紙!#REF!</definedName>
    <definedName name="companyyn391">変更別紙!#REF!</definedName>
    <definedName name="companyyn392">変更別紙!#REF!</definedName>
    <definedName name="companyyn393">変更別紙!#REF!</definedName>
    <definedName name="companyyn394">変更別紙!#REF!</definedName>
    <definedName name="companyyn395">変更別紙!#REF!</definedName>
    <definedName name="companyyn396">変更別紙!#REF!</definedName>
    <definedName name="companyyn397">変更別紙!#REF!</definedName>
    <definedName name="companyyn398">変更別紙!#REF!</definedName>
    <definedName name="companyyn399">変更別紙!#REF!</definedName>
    <definedName name="companyyn400">変更別紙!#REF!</definedName>
    <definedName name="companyyn401">変更別紙!#REF!</definedName>
    <definedName name="companyyn402">変更別紙!#REF!</definedName>
    <definedName name="companyyn403">変更別紙!#REF!</definedName>
    <definedName name="companyyn404">変更別紙!#REF!</definedName>
    <definedName name="companyyn405">変更別紙!#REF!</definedName>
    <definedName name="companyyn406">変更別紙!#REF!</definedName>
    <definedName name="companyyn407">変更別紙!#REF!</definedName>
    <definedName name="companyyn408">変更別紙!#REF!</definedName>
    <definedName name="companyyn409">変更別紙!#REF!</definedName>
    <definedName name="companyyn410">変更別紙!#REF!</definedName>
    <definedName name="companyyn411">変更別紙!#REF!</definedName>
    <definedName name="companyyn412">変更別紙!#REF!</definedName>
    <definedName name="companyyn413">変更別紙!#REF!</definedName>
    <definedName name="companyyn414">変更別紙!#REF!</definedName>
    <definedName name="companyyn415">変更別紙!#REF!</definedName>
    <definedName name="companyyn416">変更別紙!#REF!</definedName>
    <definedName name="companyyn417">変更別紙!#REF!</definedName>
    <definedName name="companyyn418">変更別紙!#REF!</definedName>
    <definedName name="companyyn419">変更別紙!#REF!</definedName>
    <definedName name="companyyn420">変更別紙!#REF!</definedName>
    <definedName name="companyyn421">変更別紙!#REF!</definedName>
    <definedName name="companyyn422">変更別紙!#REF!</definedName>
    <definedName name="companyyn423">変更別紙!#REF!</definedName>
    <definedName name="companyyn424">変更別紙!#REF!</definedName>
    <definedName name="companyyn425">変更別紙!#REF!</definedName>
    <definedName name="companyyn426">変更別紙!#REF!</definedName>
    <definedName name="companyyn427">変更別紙!#REF!</definedName>
    <definedName name="companyyn428">変更別紙!#REF!</definedName>
    <definedName name="companyyn429">変更別紙!#REF!</definedName>
    <definedName name="companyyn430">変更別紙!#REF!</definedName>
    <definedName name="companyyn431">変更別紙!#REF!</definedName>
    <definedName name="companyyn432">変更別紙!#REF!</definedName>
    <definedName name="companyyn433">変更別紙!#REF!</definedName>
    <definedName name="companyyn434">変更別紙!#REF!</definedName>
    <definedName name="companyyn435">変更別紙!#REF!</definedName>
    <definedName name="companyyn436">変更別紙!#REF!</definedName>
    <definedName name="companyyn437">変更別紙!#REF!</definedName>
    <definedName name="companyyn438">変更別紙!#REF!</definedName>
    <definedName name="companyyn439">変更別紙!#REF!</definedName>
    <definedName name="companyyn440">変更別紙!#REF!</definedName>
    <definedName name="companyyn441">変更別紙!#REF!</definedName>
    <definedName name="companyyn442">変更別紙!#REF!</definedName>
    <definedName name="companyyn443">変更別紙!#REF!</definedName>
    <definedName name="companyyn444">変更別紙!#REF!</definedName>
    <definedName name="companyyn445">変更別紙!#REF!</definedName>
    <definedName name="companyyn446">変更別紙!#REF!</definedName>
    <definedName name="companyyn447">変更別紙!#REF!</definedName>
    <definedName name="companyyn448">変更別紙!#REF!</definedName>
    <definedName name="companyyn449">変更別紙!#REF!</definedName>
    <definedName name="companyyn450">変更別紙!#REF!</definedName>
    <definedName name="companyyn451">変更別紙!#REF!</definedName>
    <definedName name="companyyn452">変更別紙!#REF!</definedName>
    <definedName name="companyyn453">変更別紙!#REF!</definedName>
    <definedName name="companyyn454">変更別紙!#REF!</definedName>
    <definedName name="companyyn455">変更別紙!#REF!</definedName>
    <definedName name="companyyn456">変更別紙!#REF!</definedName>
    <definedName name="companyyn457">変更別紙!#REF!</definedName>
    <definedName name="companyyn458">変更別紙!#REF!</definedName>
    <definedName name="companyyn459">変更別紙!#REF!</definedName>
    <definedName name="companyyn460">変更別紙!#REF!</definedName>
    <definedName name="companyyn461">変更別紙!#REF!</definedName>
    <definedName name="companyyn462">変更別紙!#REF!</definedName>
    <definedName name="companyyn463">変更別紙!#REF!</definedName>
    <definedName name="companyyn464">変更別紙!#REF!</definedName>
    <definedName name="companyyn465">変更別紙!#REF!</definedName>
    <definedName name="companyyn466">変更別紙!#REF!</definedName>
    <definedName name="companyyn467">変更別紙!#REF!</definedName>
    <definedName name="companyyn468">変更別紙!#REF!</definedName>
    <definedName name="companyyn469">変更別紙!#REF!</definedName>
    <definedName name="companyyn470">変更別紙!#REF!</definedName>
    <definedName name="companyyn471">変更別紙!#REF!</definedName>
    <definedName name="companyyn472">変更別紙!#REF!</definedName>
    <definedName name="companyyn473">変更別紙!#REF!</definedName>
    <definedName name="companyyn474">変更別紙!#REF!</definedName>
    <definedName name="companyyn475">変更別紙!#REF!</definedName>
    <definedName name="companyyn476">変更別紙!#REF!</definedName>
    <definedName name="companyyn477">変更別紙!#REF!</definedName>
    <definedName name="companyyn478">変更別紙!#REF!</definedName>
    <definedName name="companyyn479">変更別紙!#REF!</definedName>
    <definedName name="companyyn480">変更別紙!#REF!</definedName>
    <definedName name="companyyn481">変更別紙!#REF!</definedName>
    <definedName name="companyyn482">変更別紙!#REF!</definedName>
    <definedName name="companyyn483">変更別紙!#REF!</definedName>
    <definedName name="companyyn484">変更別紙!#REF!</definedName>
    <definedName name="companyyn485">変更別紙!#REF!</definedName>
    <definedName name="companyyn486">変更別紙!#REF!</definedName>
    <definedName name="companyyn487">変更別紙!#REF!</definedName>
    <definedName name="companyyn488">変更別紙!#REF!</definedName>
    <definedName name="companyyn489">変更別紙!#REF!</definedName>
    <definedName name="companyyn490">変更別紙!#REF!</definedName>
    <definedName name="companyyn491">変更別紙!#REF!</definedName>
    <definedName name="companyyn492">変更別紙!#REF!</definedName>
    <definedName name="companyyn493">変更別紙!#REF!</definedName>
    <definedName name="companyyn494">変更別紙!#REF!</definedName>
    <definedName name="companyyn495">変更別紙!#REF!</definedName>
    <definedName name="companyyn496">変更別紙!#REF!</definedName>
    <definedName name="companyyn497">変更別紙!#REF!</definedName>
    <definedName name="companyyn498">変更別紙!#REF!</definedName>
    <definedName name="companyyn499">変更別紙!#REF!</definedName>
    <definedName name="companyyn500">変更別紙!#REF!</definedName>
    <definedName name="contractCustomerAddress">付替お申込書!$K$17</definedName>
    <definedName name="contractCustomerAddress2">付替お申込書!$K$18</definedName>
    <definedName name="contractCustomerAddressKana">付替お申込書!$K$16</definedName>
    <definedName name="contractCustomerName">付替お申込書!$K$14</definedName>
    <definedName name="contractCustomerNameKana">付替お申込書!$K$13</definedName>
    <definedName name="contractCustomerPostalNumber">付替お申込書!$K$15</definedName>
    <definedName name="formVersion">付替お申込書!$AI$5</definedName>
    <definedName name="keiyakuid001">変更別紙!$G$13</definedName>
    <definedName name="keiyakuid002">変更別紙!$G$14</definedName>
    <definedName name="keiyakuid003">変更別紙!$G$15</definedName>
    <definedName name="keiyakuid004">変更別紙!$G$16</definedName>
    <definedName name="keiyakuid005">変更別紙!$G$17</definedName>
    <definedName name="keiyakuid006">変更別紙!$G$18</definedName>
    <definedName name="keiyakuid007">変更別紙!$G$19</definedName>
    <definedName name="keiyakuid008">変更別紙!$G$20</definedName>
    <definedName name="keiyakuid009">変更別紙!$G$21</definedName>
    <definedName name="keiyakuid010">変更別紙!$G$22</definedName>
    <definedName name="keiyakuid011">変更別紙!$G$23</definedName>
    <definedName name="keiyakuid012">変更別紙!$G$24</definedName>
    <definedName name="keiyakuid013">変更別紙!$G$25</definedName>
    <definedName name="keiyakuid014">変更別紙!$G$26</definedName>
    <definedName name="keiyakuid015">変更別紙!$G$27</definedName>
    <definedName name="keiyakuid016">変更別紙!$G$28</definedName>
    <definedName name="keiyakuid017">変更別紙!$G$29</definedName>
    <definedName name="keiyakuid018">変更別紙!$G$30</definedName>
    <definedName name="keiyakuid019">変更別紙!$G$31</definedName>
    <definedName name="keiyakuid020">変更別紙!$G$32</definedName>
    <definedName name="keiyakuid021">変更別紙!$G$33</definedName>
    <definedName name="keiyakuid022">変更別紙!$G$34</definedName>
    <definedName name="keiyakuid023">変更別紙!$G$35</definedName>
    <definedName name="keiyakuid024">変更別紙!$G$36</definedName>
    <definedName name="keiyakuid025">変更別紙!$G$37</definedName>
    <definedName name="keiyakuid026">変更別紙!$G$38</definedName>
    <definedName name="keiyakuid027">変更別紙!$G$39</definedName>
    <definedName name="keiyakuid028">変更別紙!$G$40</definedName>
    <definedName name="keiyakuid029">変更別紙!$G$41</definedName>
    <definedName name="keiyakuid030">変更別紙!$G$42</definedName>
    <definedName name="keiyakuid031">変更別紙!$G$43</definedName>
    <definedName name="keiyakuid032">変更別紙!$G$44</definedName>
    <definedName name="keiyakuid033">変更別紙!$G$45</definedName>
    <definedName name="keiyakuid034">変更別紙!$G$46</definedName>
    <definedName name="keiyakuid035">変更別紙!$G$47</definedName>
    <definedName name="keiyakuid036">変更別紙!$G$48</definedName>
    <definedName name="keiyakuid037">変更別紙!$G$49</definedName>
    <definedName name="keiyakuid038">変更別紙!$G$50</definedName>
    <definedName name="keiyakuid039">変更別紙!$G$51</definedName>
    <definedName name="keiyakuid040">変更別紙!$G$52</definedName>
    <definedName name="keiyakuid041">変更別紙!$G$53</definedName>
    <definedName name="keiyakuid042">変更別紙!$G$54</definedName>
    <definedName name="keiyakuid043">変更別紙!$G$55</definedName>
    <definedName name="keiyakuid044">変更別紙!$G$56</definedName>
    <definedName name="keiyakuid045">変更別紙!$G$57</definedName>
    <definedName name="keiyakuid046">変更別紙!$G$58</definedName>
    <definedName name="keiyakuid047">変更別紙!$G$59</definedName>
    <definedName name="keiyakuid048">変更別紙!$G$60</definedName>
    <definedName name="keiyakuid049">変更別紙!$G$61</definedName>
    <definedName name="keiyakuid050">変更別紙!$G$62</definedName>
    <definedName name="keiyakuid051">変更別紙!$G$63</definedName>
    <definedName name="keiyakuid052">変更別紙!$G$64</definedName>
    <definedName name="keiyakuid053">変更別紙!$G$65</definedName>
    <definedName name="keiyakuid054">変更別紙!$G$66</definedName>
    <definedName name="keiyakuid055">変更別紙!$G$67</definedName>
    <definedName name="keiyakuid056">変更別紙!$G$68</definedName>
    <definedName name="keiyakuid057">変更別紙!$G$69</definedName>
    <definedName name="keiyakuid058">変更別紙!$G$70</definedName>
    <definedName name="keiyakuid059">変更別紙!$G$71</definedName>
    <definedName name="keiyakuid060">変更別紙!$G$72</definedName>
    <definedName name="keiyakuid061">変更別紙!$G$73</definedName>
    <definedName name="keiyakuid062">変更別紙!$G$74</definedName>
    <definedName name="keiyakuid063">変更別紙!$G$75</definedName>
    <definedName name="keiyakuid064">変更別紙!$G$76</definedName>
    <definedName name="keiyakuid065">変更別紙!$G$77</definedName>
    <definedName name="keiyakuid066">変更別紙!$G$78</definedName>
    <definedName name="keiyakuid067">変更別紙!$G$79</definedName>
    <definedName name="keiyakuid068">変更別紙!$G$80</definedName>
    <definedName name="keiyakuid069">変更別紙!$G$81</definedName>
    <definedName name="keiyakuid070">変更別紙!$G$82</definedName>
    <definedName name="keiyakuid071">変更別紙!$G$83</definedName>
    <definedName name="keiyakuid072">変更別紙!$G$84</definedName>
    <definedName name="keiyakuid073">変更別紙!$G$85</definedName>
    <definedName name="keiyakuid074">変更別紙!$G$86</definedName>
    <definedName name="keiyakuid075">変更別紙!$G$87</definedName>
    <definedName name="keiyakuid076">変更別紙!$G$88</definedName>
    <definedName name="keiyakuid077">変更別紙!$G$89</definedName>
    <definedName name="keiyakuid078">変更別紙!$G$90</definedName>
    <definedName name="keiyakuid079">変更別紙!$G$91</definedName>
    <definedName name="keiyakuid080">変更別紙!$G$92</definedName>
    <definedName name="keiyakuid081">変更別紙!$G$93</definedName>
    <definedName name="keiyakuid082">変更別紙!$G$94</definedName>
    <definedName name="keiyakuid083">変更別紙!$G$95</definedName>
    <definedName name="keiyakuid084">変更別紙!$G$96</definedName>
    <definedName name="keiyakuid085">変更別紙!$G$97</definedName>
    <definedName name="keiyakuid086">変更別紙!$G$98</definedName>
    <definedName name="keiyakuid087">変更別紙!$G$99</definedName>
    <definedName name="keiyakuid088">変更別紙!$G$100</definedName>
    <definedName name="keiyakuid089">変更別紙!$G$101</definedName>
    <definedName name="keiyakuid090">変更別紙!$G$102</definedName>
    <definedName name="keiyakuid091">変更別紙!$G$103</definedName>
    <definedName name="keiyakuid092">変更別紙!$G$104</definedName>
    <definedName name="keiyakuid093">変更別紙!$G$105</definedName>
    <definedName name="keiyakuid094">変更別紙!$G$106</definedName>
    <definedName name="keiyakuid095">変更別紙!$G$107</definedName>
    <definedName name="keiyakuid096">変更別紙!$G$108</definedName>
    <definedName name="keiyakuid097">変更別紙!$G$109</definedName>
    <definedName name="keiyakuid098">変更別紙!$G$110</definedName>
    <definedName name="keiyakuid099">変更別紙!$G$111</definedName>
    <definedName name="keiyakuid100">変更別紙!$G$112</definedName>
    <definedName name="keiyakuid101">変更別紙!$G$113</definedName>
    <definedName name="keiyakuid102">変更別紙!$G$114</definedName>
    <definedName name="keiyakuid103">変更別紙!$G$115</definedName>
    <definedName name="keiyakuid104">変更別紙!$G$116</definedName>
    <definedName name="keiyakuid105">変更別紙!$G$117</definedName>
    <definedName name="keiyakuid106">変更別紙!$G$118</definedName>
    <definedName name="keiyakuid107">変更別紙!$G$119</definedName>
    <definedName name="keiyakuid108">変更別紙!$G$120</definedName>
    <definedName name="keiyakuid109">変更別紙!$G$121</definedName>
    <definedName name="keiyakuid110">変更別紙!$G$122</definedName>
    <definedName name="keiyakuid111">変更別紙!$G$123</definedName>
    <definedName name="keiyakuid112">変更別紙!$G$124</definedName>
    <definedName name="keiyakuid113">変更別紙!$G$125</definedName>
    <definedName name="keiyakuid114">変更別紙!$G$126</definedName>
    <definedName name="keiyakuid115">変更別紙!$G$127</definedName>
    <definedName name="keiyakuid116">変更別紙!$G$128</definedName>
    <definedName name="keiyakuid117">変更別紙!$G$129</definedName>
    <definedName name="keiyakuid118">変更別紙!$G$130</definedName>
    <definedName name="keiyakuid119">変更別紙!$G$131</definedName>
    <definedName name="keiyakuid120">変更別紙!$G$132</definedName>
    <definedName name="keiyakuid121">変更別紙!$G$133</definedName>
    <definedName name="keiyakuid122">変更別紙!$G$134</definedName>
    <definedName name="keiyakuid123">変更別紙!$G$135</definedName>
    <definedName name="keiyakuid124">変更別紙!$G$136</definedName>
    <definedName name="keiyakuid125">変更別紙!$G$137</definedName>
    <definedName name="keiyakuid126">変更別紙!$G$138</definedName>
    <definedName name="keiyakuid127">変更別紙!$G$139</definedName>
    <definedName name="keiyakuid128">変更別紙!$G$140</definedName>
    <definedName name="keiyakuid129">変更別紙!$G$141</definedName>
    <definedName name="keiyakuid130">変更別紙!$G$142</definedName>
    <definedName name="keiyakuid131">変更別紙!$G$143</definedName>
    <definedName name="keiyakuid132">変更別紙!$G$144</definedName>
    <definedName name="keiyakuid133">変更別紙!$G$145</definedName>
    <definedName name="keiyakuid134">変更別紙!$G$146</definedName>
    <definedName name="keiyakuid135">変更別紙!$G$147</definedName>
    <definedName name="keiyakuid136">変更別紙!$G$148</definedName>
    <definedName name="keiyakuid137">変更別紙!$G$149</definedName>
    <definedName name="keiyakuid138">変更別紙!$G$150</definedName>
    <definedName name="keiyakuid139">変更別紙!$G$151</definedName>
    <definedName name="keiyakuid140">変更別紙!$G$152</definedName>
    <definedName name="keiyakuid141">変更別紙!$G$153</definedName>
    <definedName name="keiyakuid142">変更別紙!$G$154</definedName>
    <definedName name="keiyakuid143">変更別紙!$G$155</definedName>
    <definedName name="keiyakuid144">変更別紙!$G$156</definedName>
    <definedName name="keiyakuid145">変更別紙!$G$157</definedName>
    <definedName name="keiyakuid146">変更別紙!$G$158</definedName>
    <definedName name="keiyakuid147">変更別紙!$G$159</definedName>
    <definedName name="keiyakuid148">変更別紙!$G$160</definedName>
    <definedName name="keiyakuid149">変更別紙!$G$161</definedName>
    <definedName name="keiyakuid150">変更別紙!$G$162</definedName>
    <definedName name="keiyakuid151">変更別紙!$G$163</definedName>
    <definedName name="keiyakuid152">変更別紙!$G$164</definedName>
    <definedName name="keiyakuid153">変更別紙!$G$165</definedName>
    <definedName name="keiyakuid154">変更別紙!$G$166</definedName>
    <definedName name="keiyakuid155">変更別紙!$G$167</definedName>
    <definedName name="keiyakuid156">変更別紙!$G$168</definedName>
    <definedName name="keiyakuid157">変更別紙!$G$169</definedName>
    <definedName name="keiyakuid158">変更別紙!$G$170</definedName>
    <definedName name="keiyakuid159">変更別紙!$G$171</definedName>
    <definedName name="keiyakuid160">変更別紙!$G$172</definedName>
    <definedName name="keiyakuid161">変更別紙!$G$173</definedName>
    <definedName name="keiyakuid162">変更別紙!$G$174</definedName>
    <definedName name="keiyakuid163">変更別紙!$G$175</definedName>
    <definedName name="keiyakuid164">変更別紙!$G$176</definedName>
    <definedName name="keiyakuid165">変更別紙!$G$177</definedName>
    <definedName name="keiyakuid166">変更別紙!$G$178</definedName>
    <definedName name="keiyakuid167">変更別紙!$G$179</definedName>
    <definedName name="keiyakuid168">変更別紙!$G$180</definedName>
    <definedName name="keiyakuid169">変更別紙!$G$181</definedName>
    <definedName name="keiyakuid170">変更別紙!$G$182</definedName>
    <definedName name="keiyakuid171">変更別紙!$G$183</definedName>
    <definedName name="keiyakuid172">変更別紙!$G$184</definedName>
    <definedName name="keiyakuid173">変更別紙!$G$185</definedName>
    <definedName name="keiyakuid174">変更別紙!$G$186</definedName>
    <definedName name="keiyakuid175">変更別紙!$G$187</definedName>
    <definedName name="keiyakuid176">変更別紙!$G$188</definedName>
    <definedName name="keiyakuid177">変更別紙!$G$189</definedName>
    <definedName name="keiyakuid178">変更別紙!$G$190</definedName>
    <definedName name="keiyakuid179">変更別紙!$G$191</definedName>
    <definedName name="keiyakuid180">変更別紙!$G$192</definedName>
    <definedName name="keiyakuid181">変更別紙!$G$193</definedName>
    <definedName name="keiyakuid182">変更別紙!$G$194</definedName>
    <definedName name="keiyakuid183">変更別紙!$G$195</definedName>
    <definedName name="keiyakuid184">変更別紙!$G$196</definedName>
    <definedName name="keiyakuid185">変更別紙!$G$197</definedName>
    <definedName name="keiyakuid186">変更別紙!$G$198</definedName>
    <definedName name="keiyakuid187">変更別紙!$G$199</definedName>
    <definedName name="keiyakuid188">変更別紙!$G$200</definedName>
    <definedName name="keiyakuid189">変更別紙!$G$201</definedName>
    <definedName name="keiyakuid190">変更別紙!$G$202</definedName>
    <definedName name="keiyakuid191">変更別紙!$G$203</definedName>
    <definedName name="keiyakuid192">変更別紙!$G$204</definedName>
    <definedName name="keiyakuid193">変更別紙!$G$205</definedName>
    <definedName name="keiyakuid194">変更別紙!$G$206</definedName>
    <definedName name="keiyakuid195">変更別紙!$G$207</definedName>
    <definedName name="keiyakuid196">変更別紙!$G$208</definedName>
    <definedName name="keiyakuid197">変更別紙!$G$209</definedName>
    <definedName name="keiyakuid198">変更別紙!$G$210</definedName>
    <definedName name="keiyakuid199">変更別紙!$G$211</definedName>
    <definedName name="keiyakuid200">変更別紙!$G$212</definedName>
    <definedName name="keiyakuid201">変更別紙!$G$213</definedName>
    <definedName name="keiyakuid202">変更別紙!$G$214</definedName>
    <definedName name="keiyakuid203">変更別紙!$G$215</definedName>
    <definedName name="keiyakuid204">変更別紙!$G$216</definedName>
    <definedName name="keiyakuid205">変更別紙!$G$217</definedName>
    <definedName name="keiyakuid206">変更別紙!$G$218</definedName>
    <definedName name="keiyakuid207">変更別紙!$G$219</definedName>
    <definedName name="keiyakuid208">変更別紙!$G$220</definedName>
    <definedName name="keiyakuid209">変更別紙!$G$221</definedName>
    <definedName name="keiyakuid210">変更別紙!$G$222</definedName>
    <definedName name="keiyakuid211">変更別紙!$G$223</definedName>
    <definedName name="keiyakuid212">変更別紙!$G$224</definedName>
    <definedName name="keiyakuid213">変更別紙!$G$225</definedName>
    <definedName name="keiyakuid214">変更別紙!$G$226</definedName>
    <definedName name="keiyakuid215">変更別紙!$G$227</definedName>
    <definedName name="keiyakuid216">変更別紙!$G$228</definedName>
    <definedName name="keiyakuid217">変更別紙!$G$229</definedName>
    <definedName name="keiyakuid218">変更別紙!$G$230</definedName>
    <definedName name="keiyakuid219">変更別紙!$G$231</definedName>
    <definedName name="keiyakuid220">変更別紙!$G$232</definedName>
    <definedName name="keiyakuid221">変更別紙!$G$233</definedName>
    <definedName name="keiyakuid222">変更別紙!$G$234</definedName>
    <definedName name="keiyakuid223">変更別紙!$G$235</definedName>
    <definedName name="keiyakuid224">変更別紙!$G$236</definedName>
    <definedName name="keiyakuid225">変更別紙!$G$237</definedName>
    <definedName name="keiyakuid226">変更別紙!$G$238</definedName>
    <definedName name="keiyakuid227">変更別紙!$G$239</definedName>
    <definedName name="keiyakuid228">変更別紙!$G$240</definedName>
    <definedName name="keiyakuid229">変更別紙!$G$241</definedName>
    <definedName name="keiyakuid230">変更別紙!$G$242</definedName>
    <definedName name="keiyakuid231">変更別紙!$G$243</definedName>
    <definedName name="keiyakuid232">変更別紙!$G$244</definedName>
    <definedName name="keiyakuid233">変更別紙!$G$245</definedName>
    <definedName name="keiyakuid234">変更別紙!$G$246</definedName>
    <definedName name="keiyakuid235">変更別紙!$G$247</definedName>
    <definedName name="keiyakuid236">変更別紙!$G$248</definedName>
    <definedName name="keiyakuid237">変更別紙!$G$249</definedName>
    <definedName name="keiyakuid238">変更別紙!$G$250</definedName>
    <definedName name="keiyakuid239">変更別紙!$G$251</definedName>
    <definedName name="keiyakuid240">変更別紙!$G$252</definedName>
    <definedName name="keiyakuid241">変更別紙!$G$253</definedName>
    <definedName name="keiyakuid242">変更別紙!$G$254</definedName>
    <definedName name="keiyakuid243">変更別紙!$G$255</definedName>
    <definedName name="keiyakuid244">変更別紙!$G$256</definedName>
    <definedName name="keiyakuid245">変更別紙!$G$257</definedName>
    <definedName name="keiyakuid246">変更別紙!$G$258</definedName>
    <definedName name="keiyakuid247">変更別紙!$G$259</definedName>
    <definedName name="keiyakuid248">変更別紙!$G$260</definedName>
    <definedName name="keiyakuid249">変更別紙!$G$261</definedName>
    <definedName name="keiyakuid250">変更別紙!$G$262</definedName>
    <definedName name="keiyakuid251">変更別紙!#REF!</definedName>
    <definedName name="keiyakuid252">変更別紙!#REF!</definedName>
    <definedName name="keiyakuid253">変更別紙!#REF!</definedName>
    <definedName name="keiyakuid254">変更別紙!#REF!</definedName>
    <definedName name="keiyakuid255">変更別紙!#REF!</definedName>
    <definedName name="keiyakuid256">変更別紙!#REF!</definedName>
    <definedName name="keiyakuid257">変更別紙!#REF!</definedName>
    <definedName name="keiyakuid258">変更別紙!#REF!</definedName>
    <definedName name="keiyakuid259">変更別紙!#REF!</definedName>
    <definedName name="keiyakuid260">変更別紙!#REF!</definedName>
    <definedName name="keiyakuid261">変更別紙!#REF!</definedName>
    <definedName name="keiyakuid262">変更別紙!#REF!</definedName>
    <definedName name="keiyakuid263">変更別紙!#REF!</definedName>
    <definedName name="keiyakuid264">変更別紙!#REF!</definedName>
    <definedName name="keiyakuid265">変更別紙!#REF!</definedName>
    <definedName name="keiyakuid266">変更別紙!#REF!</definedName>
    <definedName name="keiyakuid267">変更別紙!#REF!</definedName>
    <definedName name="keiyakuid268">変更別紙!#REF!</definedName>
    <definedName name="keiyakuid269">変更別紙!#REF!</definedName>
    <definedName name="keiyakuid270">変更別紙!#REF!</definedName>
    <definedName name="keiyakuid271">変更別紙!#REF!</definedName>
    <definedName name="keiyakuid272">変更別紙!#REF!</definedName>
    <definedName name="keiyakuid273">変更別紙!#REF!</definedName>
    <definedName name="keiyakuid274">変更別紙!#REF!</definedName>
    <definedName name="keiyakuid275">変更別紙!#REF!</definedName>
    <definedName name="keiyakuid276">変更別紙!#REF!</definedName>
    <definedName name="keiyakuid277">変更別紙!#REF!</definedName>
    <definedName name="keiyakuid278">変更別紙!#REF!</definedName>
    <definedName name="keiyakuid279">変更別紙!#REF!</definedName>
    <definedName name="keiyakuid280">変更別紙!#REF!</definedName>
    <definedName name="keiyakuid281">変更別紙!#REF!</definedName>
    <definedName name="keiyakuid282">変更別紙!#REF!</definedName>
    <definedName name="keiyakuid283">変更別紙!#REF!</definedName>
    <definedName name="keiyakuid284">変更別紙!#REF!</definedName>
    <definedName name="keiyakuid285">変更別紙!#REF!</definedName>
    <definedName name="keiyakuid286">変更別紙!#REF!</definedName>
    <definedName name="keiyakuid287">変更別紙!#REF!</definedName>
    <definedName name="keiyakuid288">変更別紙!#REF!</definedName>
    <definedName name="keiyakuid289">変更別紙!#REF!</definedName>
    <definedName name="keiyakuid290">変更別紙!#REF!</definedName>
    <definedName name="keiyakuid291">変更別紙!#REF!</definedName>
    <definedName name="keiyakuid292">変更別紙!#REF!</definedName>
    <definedName name="keiyakuid293">変更別紙!#REF!</definedName>
    <definedName name="keiyakuid294">変更別紙!#REF!</definedName>
    <definedName name="keiyakuid295">変更別紙!#REF!</definedName>
    <definedName name="keiyakuid296">変更別紙!#REF!</definedName>
    <definedName name="keiyakuid297">変更別紙!#REF!</definedName>
    <definedName name="keiyakuid298">変更別紙!#REF!</definedName>
    <definedName name="keiyakuid299">変更別紙!#REF!</definedName>
    <definedName name="keiyakuid300">変更別紙!#REF!</definedName>
    <definedName name="keiyakuid301">変更別紙!#REF!</definedName>
    <definedName name="keiyakuid302">変更別紙!#REF!</definedName>
    <definedName name="keiyakuid303">変更別紙!#REF!</definedName>
    <definedName name="keiyakuid304">変更別紙!#REF!</definedName>
    <definedName name="keiyakuid305">変更別紙!#REF!</definedName>
    <definedName name="keiyakuid306">変更別紙!#REF!</definedName>
    <definedName name="keiyakuid307">変更別紙!#REF!</definedName>
    <definedName name="keiyakuid308">変更別紙!#REF!</definedName>
    <definedName name="keiyakuid309">変更別紙!#REF!</definedName>
    <definedName name="keiyakuid310">変更別紙!#REF!</definedName>
    <definedName name="keiyakuid311">変更別紙!#REF!</definedName>
    <definedName name="keiyakuid312">変更別紙!#REF!</definedName>
    <definedName name="keiyakuid313">変更別紙!#REF!</definedName>
    <definedName name="keiyakuid314">変更別紙!#REF!</definedName>
    <definedName name="keiyakuid315">変更別紙!#REF!</definedName>
    <definedName name="keiyakuid316">変更別紙!#REF!</definedName>
    <definedName name="keiyakuid317">変更別紙!#REF!</definedName>
    <definedName name="keiyakuid318">変更別紙!#REF!</definedName>
    <definedName name="keiyakuid319">変更別紙!#REF!</definedName>
    <definedName name="keiyakuid320">変更別紙!#REF!</definedName>
    <definedName name="keiyakuid321">変更別紙!#REF!</definedName>
    <definedName name="keiyakuid322">変更別紙!#REF!</definedName>
    <definedName name="keiyakuid323">変更別紙!#REF!</definedName>
    <definedName name="keiyakuid324">変更別紙!#REF!</definedName>
    <definedName name="keiyakuid325">変更別紙!#REF!</definedName>
    <definedName name="keiyakuid326">変更別紙!#REF!</definedName>
    <definedName name="keiyakuid327">変更別紙!#REF!</definedName>
    <definedName name="keiyakuid328">変更別紙!#REF!</definedName>
    <definedName name="keiyakuid329">変更別紙!#REF!</definedName>
    <definedName name="keiyakuid330">変更別紙!#REF!</definedName>
    <definedName name="keiyakuid331">変更別紙!#REF!</definedName>
    <definedName name="keiyakuid332">変更別紙!#REF!</definedName>
    <definedName name="keiyakuid333">変更別紙!#REF!</definedName>
    <definedName name="keiyakuid334">変更別紙!#REF!</definedName>
    <definedName name="keiyakuid335">変更別紙!#REF!</definedName>
    <definedName name="keiyakuid336">変更別紙!#REF!</definedName>
    <definedName name="keiyakuid337">変更別紙!#REF!</definedName>
    <definedName name="keiyakuid338">変更別紙!#REF!</definedName>
    <definedName name="keiyakuid339">変更別紙!#REF!</definedName>
    <definedName name="keiyakuid340">変更別紙!#REF!</definedName>
    <definedName name="keiyakuid341">変更別紙!#REF!</definedName>
    <definedName name="keiyakuid342">変更別紙!#REF!</definedName>
    <definedName name="keiyakuid343">変更別紙!#REF!</definedName>
    <definedName name="keiyakuid344">変更別紙!#REF!</definedName>
    <definedName name="keiyakuid345">変更別紙!#REF!</definedName>
    <definedName name="keiyakuid346">変更別紙!#REF!</definedName>
    <definedName name="keiyakuid347">変更別紙!#REF!</definedName>
    <definedName name="keiyakuid348">変更別紙!#REF!</definedName>
    <definedName name="keiyakuid349">変更別紙!#REF!</definedName>
    <definedName name="keiyakuid350">変更別紙!#REF!</definedName>
    <definedName name="keiyakuid351">変更別紙!#REF!</definedName>
    <definedName name="keiyakuid352">変更別紙!#REF!</definedName>
    <definedName name="keiyakuid353">変更別紙!#REF!</definedName>
    <definedName name="keiyakuid354">変更別紙!#REF!</definedName>
    <definedName name="keiyakuid355">変更別紙!#REF!</definedName>
    <definedName name="keiyakuid356">変更別紙!#REF!</definedName>
    <definedName name="keiyakuid357">変更別紙!#REF!</definedName>
    <definedName name="keiyakuid358">変更別紙!#REF!</definedName>
    <definedName name="keiyakuid359">変更別紙!#REF!</definedName>
    <definedName name="keiyakuid360">変更別紙!#REF!</definedName>
    <definedName name="keiyakuid361">変更別紙!#REF!</definedName>
    <definedName name="keiyakuid362">変更別紙!#REF!</definedName>
    <definedName name="keiyakuid363">変更別紙!#REF!</definedName>
    <definedName name="keiyakuid364">変更別紙!#REF!</definedName>
    <definedName name="keiyakuid365">変更別紙!#REF!</definedName>
    <definedName name="keiyakuid366">変更別紙!#REF!</definedName>
    <definedName name="keiyakuid367">変更別紙!#REF!</definedName>
    <definedName name="keiyakuid368">変更別紙!#REF!</definedName>
    <definedName name="keiyakuid369">変更別紙!#REF!</definedName>
    <definedName name="keiyakuid370">変更別紙!#REF!</definedName>
    <definedName name="keiyakuid371">変更別紙!#REF!</definedName>
    <definedName name="keiyakuid372">変更別紙!#REF!</definedName>
    <definedName name="keiyakuid373">変更別紙!#REF!</definedName>
    <definedName name="keiyakuid374">変更別紙!#REF!</definedName>
    <definedName name="keiyakuid375">変更別紙!#REF!</definedName>
    <definedName name="keiyakuid376">変更別紙!#REF!</definedName>
    <definedName name="keiyakuid377">変更別紙!#REF!</definedName>
    <definedName name="keiyakuid378">変更別紙!#REF!</definedName>
    <definedName name="keiyakuid379">変更別紙!#REF!</definedName>
    <definedName name="keiyakuid380">変更別紙!#REF!</definedName>
    <definedName name="keiyakuid381">変更別紙!#REF!</definedName>
    <definedName name="keiyakuid382">変更別紙!#REF!</definedName>
    <definedName name="keiyakuid383">変更別紙!#REF!</definedName>
    <definedName name="keiyakuid384">変更別紙!#REF!</definedName>
    <definedName name="keiyakuid385">変更別紙!#REF!</definedName>
    <definedName name="keiyakuid386">変更別紙!#REF!</definedName>
    <definedName name="keiyakuid387">変更別紙!#REF!</definedName>
    <definedName name="keiyakuid388">変更別紙!#REF!</definedName>
    <definedName name="keiyakuid389">変更別紙!#REF!</definedName>
    <definedName name="keiyakuid390">変更別紙!#REF!</definedName>
    <definedName name="keiyakuid391">変更別紙!#REF!</definedName>
    <definedName name="keiyakuid392">変更別紙!#REF!</definedName>
    <definedName name="keiyakuid393">変更別紙!#REF!</definedName>
    <definedName name="keiyakuid394">変更別紙!#REF!</definedName>
    <definedName name="keiyakuid395">変更別紙!#REF!</definedName>
    <definedName name="keiyakuid396">変更別紙!#REF!</definedName>
    <definedName name="keiyakuid397">変更別紙!#REF!</definedName>
    <definedName name="keiyakuid398">変更別紙!#REF!</definedName>
    <definedName name="keiyakuid399">変更別紙!#REF!</definedName>
    <definedName name="keiyakuid400">変更別紙!#REF!</definedName>
    <definedName name="keiyakuid401">変更別紙!#REF!</definedName>
    <definedName name="keiyakuid402">変更別紙!#REF!</definedName>
    <definedName name="keiyakuid403">変更別紙!#REF!</definedName>
    <definedName name="keiyakuid404">変更別紙!#REF!</definedName>
    <definedName name="keiyakuid405">変更別紙!#REF!</definedName>
    <definedName name="keiyakuid406">変更別紙!#REF!</definedName>
    <definedName name="keiyakuid407">変更別紙!#REF!</definedName>
    <definedName name="keiyakuid408">変更別紙!#REF!</definedName>
    <definedName name="keiyakuid409">変更別紙!#REF!</definedName>
    <definedName name="keiyakuid410">変更別紙!#REF!</definedName>
    <definedName name="keiyakuid411">変更別紙!#REF!</definedName>
    <definedName name="keiyakuid412">変更別紙!#REF!</definedName>
    <definedName name="keiyakuid413">変更別紙!#REF!</definedName>
    <definedName name="keiyakuid414">変更別紙!#REF!</definedName>
    <definedName name="keiyakuid415">変更別紙!#REF!</definedName>
    <definedName name="keiyakuid416">変更別紙!#REF!</definedName>
    <definedName name="keiyakuid417">変更別紙!#REF!</definedName>
    <definedName name="keiyakuid418">変更別紙!#REF!</definedName>
    <definedName name="keiyakuid419">変更別紙!#REF!</definedName>
    <definedName name="keiyakuid420">変更別紙!#REF!</definedName>
    <definedName name="keiyakuid421">変更別紙!#REF!</definedName>
    <definedName name="keiyakuid422">変更別紙!#REF!</definedName>
    <definedName name="keiyakuid423">変更別紙!#REF!</definedName>
    <definedName name="keiyakuid424">変更別紙!#REF!</definedName>
    <definedName name="keiyakuid425">変更別紙!#REF!</definedName>
    <definedName name="keiyakuid426">変更別紙!#REF!</definedName>
    <definedName name="keiyakuid427">変更別紙!#REF!</definedName>
    <definedName name="keiyakuid428">変更別紙!#REF!</definedName>
    <definedName name="keiyakuid429">変更別紙!#REF!</definedName>
    <definedName name="keiyakuid430">変更別紙!#REF!</definedName>
    <definedName name="keiyakuid431">変更別紙!#REF!</definedName>
    <definedName name="keiyakuid432">変更別紙!#REF!</definedName>
    <definedName name="keiyakuid433">変更別紙!#REF!</definedName>
    <definedName name="keiyakuid434">変更別紙!#REF!</definedName>
    <definedName name="keiyakuid435">変更別紙!#REF!</definedName>
    <definedName name="keiyakuid436">変更別紙!#REF!</definedName>
    <definedName name="keiyakuid437">変更別紙!#REF!</definedName>
    <definedName name="keiyakuid438">変更別紙!#REF!</definedName>
    <definedName name="keiyakuid439">変更別紙!#REF!</definedName>
    <definedName name="keiyakuid440">変更別紙!#REF!</definedName>
    <definedName name="keiyakuid441">変更別紙!#REF!</definedName>
    <definedName name="keiyakuid442">変更別紙!#REF!</definedName>
    <definedName name="keiyakuid443">変更別紙!#REF!</definedName>
    <definedName name="keiyakuid444">変更別紙!#REF!</definedName>
    <definedName name="keiyakuid445">変更別紙!#REF!</definedName>
    <definedName name="keiyakuid446">変更別紙!#REF!</definedName>
    <definedName name="keiyakuid447">変更別紙!#REF!</definedName>
    <definedName name="keiyakuid448">変更別紙!#REF!</definedName>
    <definedName name="keiyakuid449">変更別紙!#REF!</definedName>
    <definedName name="keiyakuid450">変更別紙!#REF!</definedName>
    <definedName name="keiyakuid451">変更別紙!#REF!</definedName>
    <definedName name="keiyakuid452">変更別紙!#REF!</definedName>
    <definedName name="keiyakuid453">変更別紙!#REF!</definedName>
    <definedName name="keiyakuid454">変更別紙!#REF!</definedName>
    <definedName name="keiyakuid455">変更別紙!#REF!</definedName>
    <definedName name="keiyakuid456">変更別紙!#REF!</definedName>
    <definedName name="keiyakuid457">変更別紙!#REF!</definedName>
    <definedName name="keiyakuid458">変更別紙!#REF!</definedName>
    <definedName name="keiyakuid459">変更別紙!#REF!</definedName>
    <definedName name="keiyakuid460">変更別紙!#REF!</definedName>
    <definedName name="keiyakuid461">変更別紙!#REF!</definedName>
    <definedName name="keiyakuid462">変更別紙!#REF!</definedName>
    <definedName name="keiyakuid463">変更別紙!#REF!</definedName>
    <definedName name="keiyakuid464">変更別紙!#REF!</definedName>
    <definedName name="keiyakuid465">変更別紙!#REF!</definedName>
    <definedName name="keiyakuid466">変更別紙!#REF!</definedName>
    <definedName name="keiyakuid467">変更別紙!#REF!</definedName>
    <definedName name="keiyakuid468">変更別紙!#REF!</definedName>
    <definedName name="keiyakuid469">変更別紙!#REF!</definedName>
    <definedName name="keiyakuid470">変更別紙!#REF!</definedName>
    <definedName name="keiyakuid471">変更別紙!#REF!</definedName>
    <definedName name="keiyakuid472">変更別紙!#REF!</definedName>
    <definedName name="keiyakuid473">変更別紙!#REF!</definedName>
    <definedName name="keiyakuid474">変更別紙!#REF!</definedName>
    <definedName name="keiyakuid475">変更別紙!#REF!</definedName>
    <definedName name="keiyakuid476">変更別紙!#REF!</definedName>
    <definedName name="keiyakuid477">変更別紙!#REF!</definedName>
    <definedName name="keiyakuid478">変更別紙!#REF!</definedName>
    <definedName name="keiyakuid479">変更別紙!#REF!</definedName>
    <definedName name="keiyakuid480">変更別紙!#REF!</definedName>
    <definedName name="keiyakuid481">変更別紙!#REF!</definedName>
    <definedName name="keiyakuid482">変更別紙!#REF!</definedName>
    <definedName name="keiyakuid483">変更別紙!#REF!</definedName>
    <definedName name="keiyakuid484">変更別紙!#REF!</definedName>
    <definedName name="keiyakuid485">変更別紙!#REF!</definedName>
    <definedName name="keiyakuid486">変更別紙!#REF!</definedName>
    <definedName name="keiyakuid487">変更別紙!#REF!</definedName>
    <definedName name="keiyakuid488">変更別紙!#REF!</definedName>
    <definedName name="keiyakuid489">変更別紙!#REF!</definedName>
    <definedName name="keiyakuid490">変更別紙!#REF!</definedName>
    <definedName name="keiyakuid491">変更別紙!#REF!</definedName>
    <definedName name="keiyakuid492">変更別紙!#REF!</definedName>
    <definedName name="keiyakuid493">変更別紙!#REF!</definedName>
    <definedName name="keiyakuid494">変更別紙!#REF!</definedName>
    <definedName name="keiyakuid495">変更別紙!#REF!</definedName>
    <definedName name="keiyakuid496">変更別紙!#REF!</definedName>
    <definedName name="keiyakuid497">変更別紙!#REF!</definedName>
    <definedName name="keiyakuid498">変更別紙!#REF!</definedName>
    <definedName name="keiyakuid499">変更別紙!#REF!</definedName>
    <definedName name="keiyakuid500">変更別紙!#REF!</definedName>
    <definedName name="meigiHenkou">付替お申込書!$AD$14</definedName>
    <definedName name="moushikubun001">変更別紙!$C$13</definedName>
    <definedName name="moushikubun002">変更別紙!$C$14</definedName>
    <definedName name="moushikubun003">変更別紙!$C$15</definedName>
    <definedName name="moushikubun004">変更別紙!$C$16</definedName>
    <definedName name="moushikubun005">変更別紙!$C$17</definedName>
    <definedName name="moushikubun006">変更別紙!$C$18</definedName>
    <definedName name="moushikubun007">変更別紙!$C$19</definedName>
    <definedName name="moushikubun008">変更別紙!$C$20</definedName>
    <definedName name="moushikubun009">変更別紙!$C$21</definedName>
    <definedName name="moushikubun010">変更別紙!$C$22</definedName>
    <definedName name="moushikubun011">変更別紙!$C$23</definedName>
    <definedName name="moushikubun012">変更別紙!$C$24</definedName>
    <definedName name="moushikubun013">変更別紙!$C$25</definedName>
    <definedName name="moushikubun014">変更別紙!$C$26</definedName>
    <definedName name="moushikubun015">変更別紙!$C$27</definedName>
    <definedName name="moushikubun016">変更別紙!$C$28</definedName>
    <definedName name="moushikubun017">変更別紙!$C$29</definedName>
    <definedName name="moushikubun018">変更別紙!$C$30</definedName>
    <definedName name="moushikubun019">変更別紙!$C$31</definedName>
    <definedName name="moushikubun020">変更別紙!$C$32</definedName>
    <definedName name="moushikubun021">変更別紙!$C$33</definedName>
    <definedName name="moushikubun022">変更別紙!$C$34</definedName>
    <definedName name="moushikubun023">変更別紙!$C$35</definedName>
    <definedName name="moushikubun024">変更別紙!$C$36</definedName>
    <definedName name="moushikubun025">変更別紙!$C$37</definedName>
    <definedName name="moushikubun026">変更別紙!$C$38</definedName>
    <definedName name="moushikubun027">変更別紙!$C$39</definedName>
    <definedName name="moushikubun028">変更別紙!$C$40</definedName>
    <definedName name="moushikubun029">変更別紙!$C$41</definedName>
    <definedName name="moushikubun030">変更別紙!$C$42</definedName>
    <definedName name="moushikubun031">変更別紙!$C$43</definedName>
    <definedName name="moushikubun032">変更別紙!$C$44</definedName>
    <definedName name="moushikubun033">変更別紙!$C$45</definedName>
    <definedName name="moushikubun034">変更別紙!$C$46</definedName>
    <definedName name="moushikubun035">変更別紙!$C$47</definedName>
    <definedName name="moushikubun036">変更別紙!$C$48</definedName>
    <definedName name="moushikubun037">変更別紙!$C$49</definedName>
    <definedName name="moushikubun038">変更別紙!$C$50</definedName>
    <definedName name="moushikubun039">変更別紙!$C$51</definedName>
    <definedName name="moushikubun040">変更別紙!$C$52</definedName>
    <definedName name="moushikubun041">変更別紙!$C$53</definedName>
    <definedName name="moushikubun042">変更別紙!$C$54</definedName>
    <definedName name="moushikubun043">変更別紙!$C$55</definedName>
    <definedName name="moushikubun044">変更別紙!$C$56</definedName>
    <definedName name="moushikubun045">変更別紙!$C$57</definedName>
    <definedName name="moushikubun046">変更別紙!$C$58</definedName>
    <definedName name="moushikubun047">変更別紙!$C$59</definedName>
    <definedName name="moushikubun048">変更別紙!$C$60</definedName>
    <definedName name="moushikubun049">変更別紙!$C$61</definedName>
    <definedName name="moushikubun050">変更別紙!$C$62</definedName>
    <definedName name="moushikubun051">変更別紙!$C$63</definedName>
    <definedName name="moushikubun052">変更別紙!$C$64</definedName>
    <definedName name="moushikubun053">変更別紙!$C$65</definedName>
    <definedName name="moushikubun054">変更別紙!$C$66</definedName>
    <definedName name="moushikubun055">変更別紙!$C$67</definedName>
    <definedName name="moushikubun056">変更別紙!$C$68</definedName>
    <definedName name="moushikubun057">変更別紙!$C$69</definedName>
    <definedName name="moushikubun058">変更別紙!$C$70</definedName>
    <definedName name="moushikubun059">変更別紙!$C$71</definedName>
    <definedName name="moushikubun060">変更別紙!$C$72</definedName>
    <definedName name="moushikubun061">変更別紙!$C$73</definedName>
    <definedName name="moushikubun062">変更別紙!$C$74</definedName>
    <definedName name="moushikubun063">変更別紙!$C$75</definedName>
    <definedName name="moushikubun064">変更別紙!$C$76</definedName>
    <definedName name="moushikubun065">変更別紙!$C$77</definedName>
    <definedName name="moushikubun066">変更別紙!$C$78</definedName>
    <definedName name="moushikubun067">変更別紙!$C$79</definedName>
    <definedName name="moushikubun068">変更別紙!$C$80</definedName>
    <definedName name="moushikubun069">変更別紙!$C$81</definedName>
    <definedName name="moushikubun070">変更別紙!$C$82</definedName>
    <definedName name="moushikubun071">変更別紙!$C$83</definedName>
    <definedName name="moushikubun072">変更別紙!$C$84</definedName>
    <definedName name="moushikubun073">変更別紙!$C$85</definedName>
    <definedName name="moushikubun074">変更別紙!$C$86</definedName>
    <definedName name="moushikubun075">変更別紙!$C$87</definedName>
    <definedName name="moushikubun076">変更別紙!$C$88</definedName>
    <definedName name="moushikubun077">変更別紙!$C$89</definedName>
    <definedName name="moushikubun078">変更別紙!$C$90</definedName>
    <definedName name="moushikubun079">変更別紙!$C$91</definedName>
    <definedName name="moushikubun080">変更別紙!$C$92</definedName>
    <definedName name="moushikubun081">変更別紙!$C$93</definedName>
    <definedName name="moushikubun082">変更別紙!$C$94</definedName>
    <definedName name="moushikubun083">変更別紙!$C$95</definedName>
    <definedName name="moushikubun084">変更別紙!$C$96</definedName>
    <definedName name="moushikubun085">変更別紙!$C$97</definedName>
    <definedName name="moushikubun086">変更別紙!$C$98</definedName>
    <definedName name="moushikubun087">変更別紙!$C$99</definedName>
    <definedName name="moushikubun088">変更別紙!$C$100</definedName>
    <definedName name="moushikubun089">変更別紙!$C$101</definedName>
    <definedName name="moushikubun090">変更別紙!$C$102</definedName>
    <definedName name="moushikubun091">変更別紙!$C$103</definedName>
    <definedName name="moushikubun092">変更別紙!$C$104</definedName>
    <definedName name="moushikubun093">変更別紙!$C$105</definedName>
    <definedName name="moushikubun094">変更別紙!$C$106</definedName>
    <definedName name="moushikubun095">変更別紙!$C$107</definedName>
    <definedName name="moushikubun096">変更別紙!$C$108</definedName>
    <definedName name="moushikubun097">変更別紙!$C$109</definedName>
    <definedName name="moushikubun098">変更別紙!$C$110</definedName>
    <definedName name="moushikubun099">変更別紙!$C$111</definedName>
    <definedName name="moushikubun100">変更別紙!$C$112</definedName>
    <definedName name="moushikubun101">変更別紙!$C$113</definedName>
    <definedName name="moushikubun102">変更別紙!$C$114</definedName>
    <definedName name="moushikubun103">変更別紙!$C$115</definedName>
    <definedName name="moushikubun104">変更別紙!$C$116</definedName>
    <definedName name="moushikubun105">変更別紙!$C$117</definedName>
    <definedName name="moushikubun106">変更別紙!$C$118</definedName>
    <definedName name="moushikubun107">変更別紙!$C$119</definedName>
    <definedName name="moushikubun108">変更別紙!$C$120</definedName>
    <definedName name="moushikubun109">変更別紙!$C$121</definedName>
    <definedName name="moushikubun110">変更別紙!$C$122</definedName>
    <definedName name="moushikubun111">変更別紙!$C$123</definedName>
    <definedName name="moushikubun112">変更別紙!$C$124</definedName>
    <definedName name="moushikubun113">変更別紙!$C$125</definedName>
    <definedName name="moushikubun114">変更別紙!$C$126</definedName>
    <definedName name="moushikubun115">変更別紙!$C$127</definedName>
    <definedName name="moushikubun116">変更別紙!$C$128</definedName>
    <definedName name="moushikubun117">変更別紙!$C$129</definedName>
    <definedName name="moushikubun118">変更別紙!$C$130</definedName>
    <definedName name="moushikubun119">変更別紙!$C$131</definedName>
    <definedName name="moushikubun120">変更別紙!$C$132</definedName>
    <definedName name="moushikubun121">変更別紙!$C$133</definedName>
    <definedName name="moushikubun122">変更別紙!$C$134</definedName>
    <definedName name="moushikubun123">変更別紙!$C$135</definedName>
    <definedName name="moushikubun124">変更別紙!$C$136</definedName>
    <definedName name="moushikubun125">変更別紙!$C$137</definedName>
    <definedName name="moushikubun126">変更別紙!$C$138</definedName>
    <definedName name="moushikubun127">変更別紙!$C$139</definedName>
    <definedName name="moushikubun128">変更別紙!$C$140</definedName>
    <definedName name="moushikubun129">変更別紙!$C$141</definedName>
    <definedName name="moushikubun130">変更別紙!$C$142</definedName>
    <definedName name="moushikubun131">変更別紙!$C$143</definedName>
    <definedName name="moushikubun132">変更別紙!$C$144</definedName>
    <definedName name="moushikubun133">変更別紙!$C$145</definedName>
    <definedName name="moushikubun134">変更別紙!$C$146</definedName>
    <definedName name="moushikubun135">変更別紙!$C$147</definedName>
    <definedName name="moushikubun136">変更別紙!$C$148</definedName>
    <definedName name="moushikubun137">変更別紙!$C$149</definedName>
    <definedName name="moushikubun138">変更別紙!$C$150</definedName>
    <definedName name="moushikubun139">変更別紙!$C$151</definedName>
    <definedName name="moushikubun140">変更別紙!$C$152</definedName>
    <definedName name="moushikubun141">変更別紙!$C$153</definedName>
    <definedName name="moushikubun142">変更別紙!$C$154</definedName>
    <definedName name="moushikubun143">変更別紙!$C$155</definedName>
    <definedName name="moushikubun144">変更別紙!$C$156</definedName>
    <definedName name="moushikubun145">変更別紙!$C$157</definedName>
    <definedName name="moushikubun146">変更別紙!$C$158</definedName>
    <definedName name="moushikubun147">変更別紙!$C$159</definedName>
    <definedName name="moushikubun148">変更別紙!$C$160</definedName>
    <definedName name="moushikubun149">変更別紙!$C$161</definedName>
    <definedName name="moushikubun150">変更別紙!$C$162</definedName>
    <definedName name="moushikubun151">変更別紙!$C$163</definedName>
    <definedName name="moushikubun152">変更別紙!$C$164</definedName>
    <definedName name="moushikubun153">変更別紙!$C$165</definedName>
    <definedName name="moushikubun154">変更別紙!$C$166</definedName>
    <definedName name="moushikubun155">変更別紙!$C$167</definedName>
    <definedName name="moushikubun156">変更別紙!$C$168</definedName>
    <definedName name="moushikubun157">変更別紙!$C$169</definedName>
    <definedName name="moushikubun158">変更別紙!$C$170</definedName>
    <definedName name="moushikubun159">変更別紙!$C$171</definedName>
    <definedName name="moushikubun160">変更別紙!$C$172</definedName>
    <definedName name="moushikubun161">変更別紙!$C$173</definedName>
    <definedName name="moushikubun162">変更別紙!$C$174</definedName>
    <definedName name="moushikubun163">変更別紙!$C$175</definedName>
    <definedName name="moushikubun164">変更別紙!$C$176</definedName>
    <definedName name="moushikubun165">変更別紙!$C$177</definedName>
    <definedName name="moushikubun166">変更別紙!$C$178</definedName>
    <definedName name="moushikubun167">変更別紙!$C$179</definedName>
    <definedName name="moushikubun168">変更別紙!$C$180</definedName>
    <definedName name="moushikubun169">変更別紙!$C$181</definedName>
    <definedName name="moushikubun170">変更別紙!$C$182</definedName>
    <definedName name="moushikubun171">変更別紙!$C$183</definedName>
    <definedName name="moushikubun172">変更別紙!$C$184</definedName>
    <definedName name="moushikubun173">変更別紙!$C$185</definedName>
    <definedName name="moushikubun174">変更別紙!$C$186</definedName>
    <definedName name="moushikubun175">変更別紙!$C$187</definedName>
    <definedName name="moushikubun176">変更別紙!$C$188</definedName>
    <definedName name="moushikubun177">変更別紙!$C$189</definedName>
    <definedName name="moushikubun178">変更別紙!$C$190</definedName>
    <definedName name="moushikubun179">変更別紙!$C$191</definedName>
    <definedName name="moushikubun180">変更別紙!$C$192</definedName>
    <definedName name="moushikubun181">変更別紙!$C$193</definedName>
    <definedName name="moushikubun182">変更別紙!$C$194</definedName>
    <definedName name="moushikubun183">変更別紙!$C$195</definedName>
    <definedName name="moushikubun184">変更別紙!$C$196</definedName>
    <definedName name="moushikubun185">変更別紙!$C$197</definedName>
    <definedName name="moushikubun186">変更別紙!$C$198</definedName>
    <definedName name="moushikubun187">変更別紙!$C$199</definedName>
    <definedName name="moushikubun188">変更別紙!$C$200</definedName>
    <definedName name="moushikubun189">変更別紙!$C$201</definedName>
    <definedName name="moushikubun190">変更別紙!$C$202</definedName>
    <definedName name="moushikubun191">変更別紙!$C$203</definedName>
    <definedName name="moushikubun192">変更別紙!$C$204</definedName>
    <definedName name="moushikubun193">変更別紙!$C$205</definedName>
    <definedName name="moushikubun194">変更別紙!$C$206</definedName>
    <definedName name="moushikubun195">変更別紙!$C$207</definedName>
    <definedName name="moushikubun196">変更別紙!$C$208</definedName>
    <definedName name="moushikubun197">変更別紙!$C$209</definedName>
    <definedName name="moushikubun198">変更別紙!$C$210</definedName>
    <definedName name="moushikubun199">変更別紙!$C$211</definedName>
    <definedName name="moushikubun200">変更別紙!$C$212</definedName>
    <definedName name="moushikubun201">変更別紙!$C$213</definedName>
    <definedName name="moushikubun202">変更別紙!$C$214</definedName>
    <definedName name="moushikubun203">変更別紙!$C$215</definedName>
    <definedName name="moushikubun204">変更別紙!$C$216</definedName>
    <definedName name="moushikubun205">変更別紙!$C$217</definedName>
    <definedName name="moushikubun206">変更別紙!$C$218</definedName>
    <definedName name="moushikubun207">変更別紙!$C$219</definedName>
    <definedName name="moushikubun208">変更別紙!$C$220</definedName>
    <definedName name="moushikubun209">変更別紙!$C$221</definedName>
    <definedName name="moushikubun210">変更別紙!$C$222</definedName>
    <definedName name="moushikubun211">変更別紙!$C$223</definedName>
    <definedName name="moushikubun212">変更別紙!$C$224</definedName>
    <definedName name="moushikubun213">変更別紙!$C$225</definedName>
    <definedName name="moushikubun214">変更別紙!$C$226</definedName>
    <definedName name="moushikubun215">変更別紙!$C$227</definedName>
    <definedName name="moushikubun216">変更別紙!$C$228</definedName>
    <definedName name="moushikubun217">変更別紙!$C$229</definedName>
    <definedName name="moushikubun218">変更別紙!$C$230</definedName>
    <definedName name="moushikubun219">変更別紙!$C$231</definedName>
    <definedName name="moushikubun220">変更別紙!$C$232</definedName>
    <definedName name="moushikubun221">変更別紙!$C$233</definedName>
    <definedName name="moushikubun222">変更別紙!$C$234</definedName>
    <definedName name="moushikubun223">変更別紙!$C$235</definedName>
    <definedName name="moushikubun224">変更別紙!$C$236</definedName>
    <definedName name="moushikubun225">変更別紙!$C$237</definedName>
    <definedName name="moushikubun226">変更別紙!$C$238</definedName>
    <definedName name="moushikubun227">変更別紙!$C$239</definedName>
    <definedName name="moushikubun228">変更別紙!$C$240</definedName>
    <definedName name="moushikubun229">変更別紙!$C$241</definedName>
    <definedName name="moushikubun230">変更別紙!$C$242</definedName>
    <definedName name="moushikubun231">変更別紙!$C$243</definedName>
    <definedName name="moushikubun232">変更別紙!$C$244</definedName>
    <definedName name="moushikubun233">変更別紙!$C$245</definedName>
    <definedName name="moushikubun234">変更別紙!$C$246</definedName>
    <definedName name="moushikubun235">変更別紙!$C$247</definedName>
    <definedName name="moushikubun236">変更別紙!$C$248</definedName>
    <definedName name="moushikubun237">変更別紙!$C$249</definedName>
    <definedName name="moushikubun238">変更別紙!$C$250</definedName>
    <definedName name="moushikubun239">変更別紙!$C$251</definedName>
    <definedName name="moushikubun240">変更別紙!$C$252</definedName>
    <definedName name="moushikubun241">変更別紙!$C$253</definedName>
    <definedName name="moushikubun242">変更別紙!$C$254</definedName>
    <definedName name="moushikubun243">変更別紙!$C$255</definedName>
    <definedName name="moushikubun244">変更別紙!$C$256</definedName>
    <definedName name="moushikubun245">変更別紙!$C$257</definedName>
    <definedName name="moushikubun246">変更別紙!$C$258</definedName>
    <definedName name="moushikubun247">変更別紙!$C$259</definedName>
    <definedName name="moushikubun248">変更別紙!$C$260</definedName>
    <definedName name="moushikubun249">変更別紙!$C$261</definedName>
    <definedName name="moushikubun250">変更別紙!$C$262</definedName>
    <definedName name="moushikubun251">変更別紙!#REF!</definedName>
    <definedName name="moushikubun252">変更別紙!#REF!</definedName>
    <definedName name="moushikubun253">変更別紙!#REF!</definedName>
    <definedName name="moushikubun254">変更別紙!#REF!</definedName>
    <definedName name="moushikubun255">変更別紙!#REF!</definedName>
    <definedName name="moushikubun256">変更別紙!#REF!</definedName>
    <definedName name="moushikubun257">変更別紙!#REF!</definedName>
    <definedName name="moushikubun258">変更別紙!#REF!</definedName>
    <definedName name="moushikubun259">変更別紙!#REF!</definedName>
    <definedName name="moushikubun260">変更別紙!#REF!</definedName>
    <definedName name="moushikubun261">変更別紙!#REF!</definedName>
    <definedName name="moushikubun262">変更別紙!#REF!</definedName>
    <definedName name="moushikubun263">変更別紙!#REF!</definedName>
    <definedName name="moushikubun264">変更別紙!#REF!</definedName>
    <definedName name="moushikubun265">変更別紙!#REF!</definedName>
    <definedName name="moushikubun266">変更別紙!#REF!</definedName>
    <definedName name="moushikubun267">変更別紙!#REF!</definedName>
    <definedName name="moushikubun268">変更別紙!#REF!</definedName>
    <definedName name="moushikubun269">変更別紙!#REF!</definedName>
    <definedName name="moushikubun270">変更別紙!#REF!</definedName>
    <definedName name="moushikubun271">変更別紙!#REF!</definedName>
    <definedName name="moushikubun272">変更別紙!#REF!</definedName>
    <definedName name="moushikubun273">変更別紙!#REF!</definedName>
    <definedName name="moushikubun274">変更別紙!#REF!</definedName>
    <definedName name="moushikubun275">変更別紙!#REF!</definedName>
    <definedName name="moushikubun276">変更別紙!#REF!</definedName>
    <definedName name="moushikubun277">変更別紙!#REF!</definedName>
    <definedName name="moushikubun278">変更別紙!#REF!</definedName>
    <definedName name="moushikubun279">変更別紙!#REF!</definedName>
    <definedName name="moushikubun280">変更別紙!#REF!</definedName>
    <definedName name="moushikubun281">変更別紙!#REF!</definedName>
    <definedName name="moushikubun282">変更別紙!#REF!</definedName>
    <definedName name="moushikubun283">変更別紙!#REF!</definedName>
    <definedName name="moushikubun284">変更別紙!#REF!</definedName>
    <definedName name="moushikubun285">変更別紙!#REF!</definedName>
    <definedName name="moushikubun286">変更別紙!#REF!</definedName>
    <definedName name="moushikubun287">変更別紙!#REF!</definedName>
    <definedName name="moushikubun288">変更別紙!#REF!</definedName>
    <definedName name="moushikubun289">変更別紙!#REF!</definedName>
    <definedName name="moushikubun290">変更別紙!#REF!</definedName>
    <definedName name="moushikubun291">変更別紙!#REF!</definedName>
    <definedName name="moushikubun292">変更別紙!#REF!</definedName>
    <definedName name="moushikubun293">変更別紙!#REF!</definedName>
    <definedName name="moushikubun294">変更別紙!#REF!</definedName>
    <definedName name="moushikubun295">変更別紙!#REF!</definedName>
    <definedName name="moushikubun296">変更別紙!#REF!</definedName>
    <definedName name="moushikubun297">変更別紙!#REF!</definedName>
    <definedName name="moushikubun298">変更別紙!#REF!</definedName>
    <definedName name="moushikubun299">変更別紙!#REF!</definedName>
    <definedName name="moushikubun300">変更別紙!#REF!</definedName>
    <definedName name="moushikubun301">変更別紙!#REF!</definedName>
    <definedName name="moushikubun302">変更別紙!#REF!</definedName>
    <definedName name="moushikubun303">変更別紙!#REF!</definedName>
    <definedName name="moushikubun304">変更別紙!#REF!</definedName>
    <definedName name="moushikubun305">変更別紙!#REF!</definedName>
    <definedName name="moushikubun306">変更別紙!#REF!</definedName>
    <definedName name="moushikubun307">変更別紙!#REF!</definedName>
    <definedName name="moushikubun308">変更別紙!#REF!</definedName>
    <definedName name="moushikubun309">変更別紙!#REF!</definedName>
    <definedName name="moushikubun310">変更別紙!#REF!</definedName>
    <definedName name="moushikubun311">変更別紙!#REF!</definedName>
    <definedName name="moushikubun312">変更別紙!#REF!</definedName>
    <definedName name="moushikubun313">変更別紙!#REF!</definedName>
    <definedName name="moushikubun314">変更別紙!#REF!</definedName>
    <definedName name="moushikubun315">変更別紙!#REF!</definedName>
    <definedName name="moushikubun316">変更別紙!#REF!</definedName>
    <definedName name="moushikubun317">変更別紙!#REF!</definedName>
    <definedName name="moushikubun318">変更別紙!#REF!</definedName>
    <definedName name="moushikubun319">変更別紙!#REF!</definedName>
    <definedName name="moushikubun320">変更別紙!#REF!</definedName>
    <definedName name="moushikubun321">変更別紙!#REF!</definedName>
    <definedName name="moushikubun322">変更別紙!#REF!</definedName>
    <definedName name="moushikubun323">変更別紙!#REF!</definedName>
    <definedName name="moushikubun324">変更別紙!#REF!</definedName>
    <definedName name="moushikubun325">変更別紙!#REF!</definedName>
    <definedName name="moushikubun326">変更別紙!#REF!</definedName>
    <definedName name="moushikubun327">変更別紙!#REF!</definedName>
    <definedName name="moushikubun328">変更別紙!#REF!</definedName>
    <definedName name="moushikubun329">変更別紙!#REF!</definedName>
    <definedName name="moushikubun330">変更別紙!#REF!</definedName>
    <definedName name="moushikubun331">変更別紙!#REF!</definedName>
    <definedName name="moushikubun332">変更別紙!#REF!</definedName>
    <definedName name="moushikubun333">変更別紙!#REF!</definedName>
    <definedName name="moushikubun334">変更別紙!#REF!</definedName>
    <definedName name="moushikubun335">変更別紙!#REF!</definedName>
    <definedName name="moushikubun336">変更別紙!#REF!</definedName>
    <definedName name="moushikubun337">変更別紙!#REF!</definedName>
    <definedName name="moushikubun338">変更別紙!#REF!</definedName>
    <definedName name="moushikubun339">変更別紙!#REF!</definedName>
    <definedName name="moushikubun340">変更別紙!#REF!</definedName>
    <definedName name="moushikubun341">変更別紙!#REF!</definedName>
    <definedName name="moushikubun342">変更別紙!#REF!</definedName>
    <definedName name="moushikubun343">変更別紙!#REF!</definedName>
    <definedName name="moushikubun344">変更別紙!#REF!</definedName>
    <definedName name="moushikubun345">変更別紙!#REF!</definedName>
    <definedName name="moushikubun346">変更別紙!#REF!</definedName>
    <definedName name="moushikubun347">変更別紙!#REF!</definedName>
    <definedName name="moushikubun348">変更別紙!#REF!</definedName>
    <definedName name="moushikubun349">変更別紙!#REF!</definedName>
    <definedName name="moushikubun350">変更別紙!#REF!</definedName>
    <definedName name="moushikubun351">変更別紙!#REF!</definedName>
    <definedName name="moushikubun352">変更別紙!#REF!</definedName>
    <definedName name="moushikubun353">変更別紙!#REF!</definedName>
    <definedName name="moushikubun354">変更別紙!#REF!</definedName>
    <definedName name="moushikubun355">変更別紙!#REF!</definedName>
    <definedName name="moushikubun356">変更別紙!#REF!</definedName>
    <definedName name="moushikubun357">変更別紙!#REF!</definedName>
    <definedName name="moushikubun358">変更別紙!#REF!</definedName>
    <definedName name="moushikubun359">変更別紙!#REF!</definedName>
    <definedName name="moushikubun360">変更別紙!#REF!</definedName>
    <definedName name="moushikubun361">変更別紙!#REF!</definedName>
    <definedName name="moushikubun362">変更別紙!#REF!</definedName>
    <definedName name="moushikubun363">変更別紙!#REF!</definedName>
    <definedName name="moushikubun364">変更別紙!#REF!</definedName>
    <definedName name="moushikubun365">変更別紙!#REF!</definedName>
    <definedName name="moushikubun366">変更別紙!#REF!</definedName>
    <definedName name="moushikubun367">変更別紙!#REF!</definedName>
    <definedName name="moushikubun368">変更別紙!#REF!</definedName>
    <definedName name="moushikubun369">変更別紙!#REF!</definedName>
    <definedName name="moushikubun370">変更別紙!#REF!</definedName>
    <definedName name="moushikubun371">変更別紙!#REF!</definedName>
    <definedName name="moushikubun372">変更別紙!#REF!</definedName>
    <definedName name="moushikubun373">変更別紙!#REF!</definedName>
    <definedName name="moushikubun374">変更別紙!#REF!</definedName>
    <definedName name="moushikubun375">変更別紙!#REF!</definedName>
    <definedName name="moushikubun376">変更別紙!#REF!</definedName>
    <definedName name="moushikubun377">変更別紙!#REF!</definedName>
    <definedName name="moushikubun378">変更別紙!#REF!</definedName>
    <definedName name="moushikubun379">変更別紙!#REF!</definedName>
    <definedName name="moushikubun380">変更別紙!#REF!</definedName>
    <definedName name="moushikubun381">変更別紙!#REF!</definedName>
    <definedName name="moushikubun382">変更別紙!#REF!</definedName>
    <definedName name="moushikubun383">変更別紙!#REF!</definedName>
    <definedName name="moushikubun384">変更別紙!#REF!</definedName>
    <definedName name="moushikubun385">変更別紙!#REF!</definedName>
    <definedName name="moushikubun386">変更別紙!#REF!</definedName>
    <definedName name="moushikubun387">変更別紙!#REF!</definedName>
    <definedName name="moushikubun388">変更別紙!#REF!</definedName>
    <definedName name="moushikubun389">変更別紙!#REF!</definedName>
    <definedName name="moushikubun390">変更別紙!#REF!</definedName>
    <definedName name="moushikubun391">変更別紙!#REF!</definedName>
    <definedName name="moushikubun392">変更別紙!#REF!</definedName>
    <definedName name="moushikubun393">変更別紙!#REF!</definedName>
    <definedName name="moushikubun394">変更別紙!#REF!</definedName>
    <definedName name="moushikubun395">変更別紙!#REF!</definedName>
    <definedName name="moushikubun396">変更別紙!#REF!</definedName>
    <definedName name="moushikubun397">変更別紙!#REF!</definedName>
    <definedName name="moushikubun398">変更別紙!#REF!</definedName>
    <definedName name="moushikubun399">変更別紙!#REF!</definedName>
    <definedName name="moushikubun400">変更別紙!#REF!</definedName>
    <definedName name="moushikubun401">変更別紙!#REF!</definedName>
    <definedName name="moushikubun402">変更別紙!#REF!</definedName>
    <definedName name="moushikubun403">変更別紙!#REF!</definedName>
    <definedName name="moushikubun404">変更別紙!#REF!</definedName>
    <definedName name="moushikubun405">変更別紙!#REF!</definedName>
    <definedName name="moushikubun406">変更別紙!#REF!</definedName>
    <definedName name="moushikubun407">変更別紙!#REF!</definedName>
    <definedName name="moushikubun408">変更別紙!#REF!</definedName>
    <definedName name="moushikubun409">変更別紙!#REF!</definedName>
    <definedName name="moushikubun410">変更別紙!#REF!</definedName>
    <definedName name="moushikubun411">変更別紙!#REF!</definedName>
    <definedName name="moushikubun412">変更別紙!#REF!</definedName>
    <definedName name="moushikubun413">変更別紙!#REF!</definedName>
    <definedName name="moushikubun414">変更別紙!#REF!</definedName>
    <definedName name="moushikubun415">変更別紙!#REF!</definedName>
    <definedName name="moushikubun416">変更別紙!#REF!</definedName>
    <definedName name="moushikubun417">変更別紙!#REF!</definedName>
    <definedName name="moushikubun418">変更別紙!#REF!</definedName>
    <definedName name="moushikubun419">変更別紙!#REF!</definedName>
    <definedName name="moushikubun420">変更別紙!#REF!</definedName>
    <definedName name="moushikubun421">変更別紙!#REF!</definedName>
    <definedName name="moushikubun422">変更別紙!#REF!</definedName>
    <definedName name="moushikubun423">変更別紙!#REF!</definedName>
    <definedName name="moushikubun424">変更別紙!#REF!</definedName>
    <definedName name="moushikubun425">変更別紙!#REF!</definedName>
    <definedName name="moushikubun426">変更別紙!#REF!</definedName>
    <definedName name="moushikubun427">変更別紙!#REF!</definedName>
    <definedName name="moushikubun428">変更別紙!#REF!</definedName>
    <definedName name="moushikubun429">変更別紙!#REF!</definedName>
    <definedName name="moushikubun430">変更別紙!#REF!</definedName>
    <definedName name="moushikubun431">変更別紙!#REF!</definedName>
    <definedName name="moushikubun432">変更別紙!#REF!</definedName>
    <definedName name="moushikubun433">変更別紙!#REF!</definedName>
    <definedName name="moushikubun434">変更別紙!#REF!</definedName>
    <definedName name="moushikubun435">変更別紙!#REF!</definedName>
    <definedName name="moushikubun436">変更別紙!#REF!</definedName>
    <definedName name="moushikubun437">変更別紙!#REF!</definedName>
    <definedName name="moushikubun438">変更別紙!#REF!</definedName>
    <definedName name="moushikubun439">変更別紙!#REF!</definedName>
    <definedName name="moushikubun440">変更別紙!#REF!</definedName>
    <definedName name="moushikubun441">変更別紙!#REF!</definedName>
    <definedName name="moushikubun442">変更別紙!#REF!</definedName>
    <definedName name="moushikubun443">変更別紙!#REF!</definedName>
    <definedName name="moushikubun444">変更別紙!#REF!</definedName>
    <definedName name="moushikubun445">変更別紙!#REF!</definedName>
    <definedName name="moushikubun446">変更別紙!#REF!</definedName>
    <definedName name="moushikubun447">変更別紙!#REF!</definedName>
    <definedName name="moushikubun448">変更別紙!#REF!</definedName>
    <definedName name="moushikubun449">変更別紙!#REF!</definedName>
    <definedName name="moushikubun450">変更別紙!#REF!</definedName>
    <definedName name="moushikubun451">変更別紙!#REF!</definedName>
    <definedName name="moushikubun452">変更別紙!#REF!</definedName>
    <definedName name="moushikubun453">変更別紙!#REF!</definedName>
    <definedName name="moushikubun454">変更別紙!#REF!</definedName>
    <definedName name="moushikubun455">変更別紙!#REF!</definedName>
    <definedName name="moushikubun456">変更別紙!#REF!</definedName>
    <definedName name="moushikubun457">変更別紙!#REF!</definedName>
    <definedName name="moushikubun458">変更別紙!#REF!</definedName>
    <definedName name="moushikubun459">変更別紙!#REF!</definedName>
    <definedName name="moushikubun460">変更別紙!#REF!</definedName>
    <definedName name="moushikubun461">変更別紙!#REF!</definedName>
    <definedName name="moushikubun462">変更別紙!#REF!</definedName>
    <definedName name="moushikubun463">変更別紙!#REF!</definedName>
    <definedName name="moushikubun464">変更別紙!#REF!</definedName>
    <definedName name="moushikubun465">変更別紙!#REF!</definedName>
    <definedName name="moushikubun466">変更別紙!#REF!</definedName>
    <definedName name="moushikubun467">変更別紙!#REF!</definedName>
    <definedName name="moushikubun468">変更別紙!#REF!</definedName>
    <definedName name="moushikubun469">変更別紙!#REF!</definedName>
    <definedName name="moushikubun470">変更別紙!#REF!</definedName>
    <definedName name="moushikubun471">変更別紙!#REF!</definedName>
    <definedName name="moushikubun472">変更別紙!#REF!</definedName>
    <definedName name="moushikubun473">変更別紙!#REF!</definedName>
    <definedName name="moushikubun474">変更別紙!#REF!</definedName>
    <definedName name="moushikubun475">変更別紙!#REF!</definedName>
    <definedName name="moushikubun476">変更別紙!#REF!</definedName>
    <definedName name="moushikubun477">変更別紙!#REF!</definedName>
    <definedName name="moushikubun478">変更別紙!#REF!</definedName>
    <definedName name="moushikubun479">変更別紙!#REF!</definedName>
    <definedName name="moushikubun480">変更別紙!#REF!</definedName>
    <definedName name="moushikubun481">変更別紙!#REF!</definedName>
    <definedName name="moushikubun482">変更別紙!#REF!</definedName>
    <definedName name="moushikubun483">変更別紙!#REF!</definedName>
    <definedName name="moushikubun484">変更別紙!#REF!</definedName>
    <definedName name="moushikubun485">変更別紙!#REF!</definedName>
    <definedName name="moushikubun486">変更別紙!#REF!</definedName>
    <definedName name="moushikubun487">変更別紙!#REF!</definedName>
    <definedName name="moushikubun488">変更別紙!#REF!</definedName>
    <definedName name="moushikubun489">変更別紙!#REF!</definedName>
    <definedName name="moushikubun490">変更別紙!#REF!</definedName>
    <definedName name="moushikubun491">変更別紙!#REF!</definedName>
    <definedName name="moushikubun492">変更別紙!#REF!</definedName>
    <definedName name="moushikubun493">変更別紙!#REF!</definedName>
    <definedName name="moushikubun494">変更別紙!#REF!</definedName>
    <definedName name="moushikubun495">変更別紙!#REF!</definedName>
    <definedName name="moushikubun496">変更別紙!#REF!</definedName>
    <definedName name="moushikubun497">変更別紙!#REF!</definedName>
    <definedName name="moushikubun498">変更別紙!#REF!</definedName>
    <definedName name="moushikubun499">変更別紙!#REF!</definedName>
    <definedName name="moushikubun500">変更別紙!#REF!</definedName>
    <definedName name="newbillingStationCustomerNumber">'table（隠す）変更'!$T$3</definedName>
    <definedName name="newbillingStationCustomerNumberOnly">付替お申込書!$K$12</definedName>
    <definedName name="oldbillingStationCustomerNumber">'table（隠す）変更'!$R$3</definedName>
    <definedName name="oldbillingStationCustomerNumberOnly">付替お申込書!$K$11</definedName>
    <definedName name="_xlnm.Print_Area" localSheetId="0">付替お申込書!$A$1:$AJ$42</definedName>
    <definedName name="salesChannelDeptName">付替お申込書!$M$43</definedName>
    <definedName name="salesChannelMailAddress">付替お申込書!$M$49</definedName>
    <definedName name="salesChannelPersonName">付替お申込書!$M$45</definedName>
    <definedName name="salesChannelPhoneNumber">付替お申込書!$M$47</definedName>
    <definedName name="shubetsu001">変更別紙!$D$13</definedName>
    <definedName name="shubetsu002">変更別紙!$D$14</definedName>
    <definedName name="shubetsu003">変更別紙!$D$15</definedName>
    <definedName name="shubetsu004">変更別紙!$D$16</definedName>
    <definedName name="shubetsu005">変更別紙!$D$17</definedName>
    <definedName name="shubetsu006">変更別紙!$D$18</definedName>
    <definedName name="shubetsu007">変更別紙!$D$19</definedName>
    <definedName name="shubetsu008">変更別紙!$D$20</definedName>
    <definedName name="shubetsu009">変更別紙!$D$21</definedName>
    <definedName name="shubetsu010">変更別紙!$D$22</definedName>
    <definedName name="shubetsu011">変更別紙!$D$23</definedName>
    <definedName name="shubetsu012">変更別紙!$D$24</definedName>
    <definedName name="shubetsu013">変更別紙!$D$25</definedName>
    <definedName name="shubetsu014">変更別紙!$D$26</definedName>
    <definedName name="shubetsu015">変更別紙!$D$27</definedName>
    <definedName name="shubetsu016">変更別紙!$D$28</definedName>
    <definedName name="shubetsu017">変更別紙!$D$29</definedName>
    <definedName name="shubetsu018">変更別紙!$D$30</definedName>
    <definedName name="shubetsu019">変更別紙!$D$31</definedName>
    <definedName name="shubetsu020">変更別紙!$D$32</definedName>
    <definedName name="shubetsu021">変更別紙!$D$33</definedName>
    <definedName name="shubetsu022">変更別紙!$D$34</definedName>
    <definedName name="shubetsu023">変更別紙!$D$35</definedName>
    <definedName name="shubetsu024">変更別紙!$D$36</definedName>
    <definedName name="shubetsu025">変更別紙!$D$37</definedName>
    <definedName name="shubetsu026">変更別紙!$D$38</definedName>
    <definedName name="shubetsu027">変更別紙!$D$39</definedName>
    <definedName name="shubetsu028">変更別紙!$D$40</definedName>
    <definedName name="shubetsu029">変更別紙!$D$41</definedName>
    <definedName name="shubetsu030">変更別紙!$D$42</definedName>
    <definedName name="shubetsu031">変更別紙!$D$43</definedName>
    <definedName name="shubetsu032">変更別紙!$D$44</definedName>
    <definedName name="shubetsu033">変更別紙!$D$45</definedName>
    <definedName name="shubetsu034">変更別紙!$D$46</definedName>
    <definedName name="shubetsu035">変更別紙!$D$47</definedName>
    <definedName name="shubetsu036">変更別紙!$D$48</definedName>
    <definedName name="shubetsu037">変更別紙!$D$49</definedName>
    <definedName name="shubetsu038">変更別紙!$D$50</definedName>
    <definedName name="shubetsu039">変更別紙!$D$51</definedName>
    <definedName name="shubetsu040">変更別紙!$D$52</definedName>
    <definedName name="shubetsu041">変更別紙!$D$53</definedName>
    <definedName name="shubetsu042">変更別紙!$D$54</definedName>
    <definedName name="shubetsu043">変更別紙!$D$55</definedName>
    <definedName name="shubetsu044">変更別紙!$D$56</definedName>
    <definedName name="shubetsu045">変更別紙!$D$57</definedName>
    <definedName name="shubetsu046">変更別紙!$D$58</definedName>
    <definedName name="shubetsu047">変更別紙!$D$59</definedName>
    <definedName name="shubetsu048">変更別紙!$D$60</definedName>
    <definedName name="shubetsu049">変更別紙!$D$61</definedName>
    <definedName name="shubetsu050">変更別紙!$D$62</definedName>
    <definedName name="shubetsu051">変更別紙!$D$63</definedName>
    <definedName name="shubetsu052">変更別紙!$D$64</definedName>
    <definedName name="shubetsu053">変更別紙!$D$65</definedName>
    <definedName name="shubetsu054">変更別紙!$D$66</definedName>
    <definedName name="shubetsu055">変更別紙!$D$67</definedName>
    <definedName name="shubetsu056">変更別紙!$D$68</definedName>
    <definedName name="shubetsu057">変更別紙!$D$69</definedName>
    <definedName name="shubetsu058">変更別紙!$D$70</definedName>
    <definedName name="shubetsu059">変更別紙!$D$71</definedName>
    <definedName name="shubetsu060">変更別紙!$D$72</definedName>
    <definedName name="shubetsu061">変更別紙!$D$73</definedName>
    <definedName name="shubetsu062">変更別紙!$D$74</definedName>
    <definedName name="shubetsu063">変更別紙!$D$75</definedName>
    <definedName name="shubetsu064">変更別紙!$D$76</definedName>
    <definedName name="shubetsu065">変更別紙!$D$77</definedName>
    <definedName name="shubetsu066">変更別紙!$D$78</definedName>
    <definedName name="shubetsu067">変更別紙!$D$79</definedName>
    <definedName name="shubetsu068">変更別紙!$D$80</definedName>
    <definedName name="shubetsu069">変更別紙!$D$81</definedName>
    <definedName name="shubetsu070">変更別紙!$D$82</definedName>
    <definedName name="shubetsu071">変更別紙!$D$83</definedName>
    <definedName name="shubetsu072">変更別紙!$D$84</definedName>
    <definedName name="shubetsu073">変更別紙!$D$85</definedName>
    <definedName name="shubetsu074">変更別紙!$D$86</definedName>
    <definedName name="shubetsu075">変更別紙!$D$87</definedName>
    <definedName name="shubetsu076">変更別紙!$D$88</definedName>
    <definedName name="shubetsu077">変更別紙!$D$89</definedName>
    <definedName name="shubetsu078">変更別紙!$D$90</definedName>
    <definedName name="shubetsu079">変更別紙!$D$91</definedName>
    <definedName name="shubetsu080">変更別紙!$D$92</definedName>
    <definedName name="shubetsu081">変更別紙!$D$93</definedName>
    <definedName name="shubetsu082">変更別紙!$D$94</definedName>
    <definedName name="shubetsu083">変更別紙!$D$95</definedName>
    <definedName name="shubetsu084">変更別紙!$D$96</definedName>
    <definedName name="shubetsu085">変更別紙!$D$97</definedName>
    <definedName name="shubetsu086">変更別紙!$D$98</definedName>
    <definedName name="shubetsu087">変更別紙!$D$99</definedName>
    <definedName name="shubetsu088">変更別紙!$D$100</definedName>
    <definedName name="shubetsu089">変更別紙!$D$101</definedName>
    <definedName name="shubetsu090">変更別紙!$D$102</definedName>
    <definedName name="shubetsu091">変更別紙!$D$103</definedName>
    <definedName name="shubetsu092">変更別紙!$D$104</definedName>
    <definedName name="shubetsu093">変更別紙!$D$105</definedName>
    <definedName name="shubetsu094">変更別紙!$D$106</definedName>
    <definedName name="shubetsu095">変更別紙!$D$107</definedName>
    <definedName name="shubetsu096">変更別紙!$D$108</definedName>
    <definedName name="shubetsu097">変更別紙!$D$109</definedName>
    <definedName name="shubetsu098">変更別紙!$D$110</definedName>
    <definedName name="shubetsu099">変更別紙!$D$111</definedName>
    <definedName name="shubetsu100">変更別紙!$D$112</definedName>
    <definedName name="shubetsu101">変更別紙!$D$113</definedName>
    <definedName name="shubetsu102">変更別紙!$D$114</definedName>
    <definedName name="shubetsu103">変更別紙!$D$115</definedName>
    <definedName name="shubetsu104">変更別紙!$D$116</definedName>
    <definedName name="shubetsu105">変更別紙!$D$117</definedName>
    <definedName name="shubetsu106">変更別紙!$D$118</definedName>
    <definedName name="shubetsu107">変更別紙!$D$119</definedName>
    <definedName name="shubetsu108">変更別紙!$D$120</definedName>
    <definedName name="shubetsu109">変更別紙!$D$121</definedName>
    <definedName name="shubetsu110">変更別紙!$D$122</definedName>
    <definedName name="shubetsu111">変更別紙!$D$123</definedName>
    <definedName name="shubetsu112">変更別紙!$D$124</definedName>
    <definedName name="shubetsu113">変更別紙!$D$125</definedName>
    <definedName name="shubetsu114">変更別紙!$D$126</definedName>
    <definedName name="shubetsu115">変更別紙!$D$127</definedName>
    <definedName name="shubetsu116">変更別紙!$D$128</definedName>
    <definedName name="shubetsu117">変更別紙!$D$129</definedName>
    <definedName name="shubetsu118">変更別紙!$D$130</definedName>
    <definedName name="shubetsu119">変更別紙!$D$131</definedName>
    <definedName name="shubetsu120">変更別紙!$D$132</definedName>
    <definedName name="shubetsu121">変更別紙!$D$133</definedName>
    <definedName name="shubetsu122">変更別紙!$D$134</definedName>
    <definedName name="shubetsu123">変更別紙!$D$135</definedName>
    <definedName name="shubetsu124">変更別紙!$D$136</definedName>
    <definedName name="shubetsu125">変更別紙!$D$137</definedName>
    <definedName name="shubetsu126">変更別紙!$D$138</definedName>
    <definedName name="shubetsu127">変更別紙!$D$139</definedName>
    <definedName name="shubetsu128">変更別紙!$D$140</definedName>
    <definedName name="shubetsu129">変更別紙!$D$141</definedName>
    <definedName name="shubetsu130">変更別紙!$D$142</definedName>
    <definedName name="shubetsu131">変更別紙!$D$143</definedName>
    <definedName name="shubetsu132">変更別紙!$D$144</definedName>
    <definedName name="shubetsu133">変更別紙!$D$145</definedName>
    <definedName name="shubetsu134">変更別紙!$D$146</definedName>
    <definedName name="shubetsu135">変更別紙!$D$147</definedName>
    <definedName name="shubetsu136">変更別紙!$D$148</definedName>
    <definedName name="shubetsu137">変更別紙!$D$149</definedName>
    <definedName name="shubetsu138">変更別紙!$D$150</definedName>
    <definedName name="shubetsu139">変更別紙!$D$151</definedName>
    <definedName name="shubetsu140">変更別紙!$D$152</definedName>
    <definedName name="shubetsu141">変更別紙!$D$153</definedName>
    <definedName name="shubetsu142">変更別紙!$D$154</definedName>
    <definedName name="shubetsu143">変更別紙!$D$155</definedName>
    <definedName name="shubetsu144">変更別紙!$D$156</definedName>
    <definedName name="shubetsu145">変更別紙!$D$157</definedName>
    <definedName name="shubetsu146">変更別紙!$D$158</definedName>
    <definedName name="shubetsu147">変更別紙!$D$159</definedName>
    <definedName name="shubetsu148">変更別紙!$D$160</definedName>
    <definedName name="shubetsu149">変更別紙!$D$161</definedName>
    <definedName name="shubetsu150">変更別紙!$D$162</definedName>
    <definedName name="shubetsu151">変更別紙!$D$163</definedName>
    <definedName name="shubetsu152">変更別紙!$D$164</definedName>
    <definedName name="shubetsu153">変更別紙!$D$165</definedName>
    <definedName name="shubetsu154">変更別紙!$D$166</definedName>
    <definedName name="shubetsu155">変更別紙!$D$167</definedName>
    <definedName name="shubetsu156">変更別紙!$D$168</definedName>
    <definedName name="shubetsu157">変更別紙!$D$169</definedName>
    <definedName name="shubetsu158">変更別紙!$D$170</definedName>
    <definedName name="shubetsu159">変更別紙!$D$171</definedName>
    <definedName name="shubetsu160">変更別紙!$D$172</definedName>
    <definedName name="shubetsu161">変更別紙!$D$173</definedName>
    <definedName name="shubetsu162">変更別紙!$D$174</definedName>
    <definedName name="shubetsu163">変更別紙!$D$175</definedName>
    <definedName name="shubetsu164">変更別紙!$D$176</definedName>
    <definedName name="shubetsu165">変更別紙!$D$177</definedName>
    <definedName name="shubetsu166">変更別紙!$D$178</definedName>
    <definedName name="shubetsu167">変更別紙!$D$179</definedName>
    <definedName name="shubetsu168">変更別紙!$D$180</definedName>
    <definedName name="shubetsu169">変更別紙!$D$181</definedName>
    <definedName name="shubetsu170">変更別紙!$D$182</definedName>
    <definedName name="shubetsu171">変更別紙!$D$183</definedName>
    <definedName name="shubetsu172">変更別紙!$D$184</definedName>
    <definedName name="shubetsu173">変更別紙!$D$185</definedName>
    <definedName name="shubetsu174">変更別紙!$D$186</definedName>
    <definedName name="shubetsu175">変更別紙!$D$187</definedName>
    <definedName name="shubetsu176">変更別紙!$D$188</definedName>
    <definedName name="shubetsu177">変更別紙!$D$189</definedName>
    <definedName name="shubetsu178">変更別紙!$D$190</definedName>
    <definedName name="shubetsu179">変更別紙!$D$191</definedName>
    <definedName name="shubetsu180">変更別紙!$D$192</definedName>
    <definedName name="shubetsu181">変更別紙!$D$193</definedName>
    <definedName name="shubetsu182">変更別紙!$D$194</definedName>
    <definedName name="shubetsu183">変更別紙!$D$195</definedName>
    <definedName name="shubetsu184">変更別紙!$D$196</definedName>
    <definedName name="shubetsu185">変更別紙!$D$197</definedName>
    <definedName name="shubetsu186">変更別紙!$D$198</definedName>
    <definedName name="shubetsu187">変更別紙!$D$199</definedName>
    <definedName name="shubetsu188">変更別紙!$D$200</definedName>
    <definedName name="shubetsu189">変更別紙!$D$201</definedName>
    <definedName name="shubetsu190">変更別紙!$D$202</definedName>
    <definedName name="shubetsu191">変更別紙!$D$203</definedName>
    <definedName name="shubetsu192">変更別紙!$D$204</definedName>
    <definedName name="shubetsu193">変更別紙!$D$205</definedName>
    <definedName name="shubetsu194">変更別紙!$D$206</definedName>
    <definedName name="shubetsu195">変更別紙!$D$207</definedName>
    <definedName name="shubetsu196">変更別紙!$D$208</definedName>
    <definedName name="shubetsu197">変更別紙!$D$209</definedName>
    <definedName name="shubetsu198">変更別紙!$D$210</definedName>
    <definedName name="shubetsu199">変更別紙!$D$211</definedName>
    <definedName name="shubetsu200">変更別紙!$D$212</definedName>
    <definedName name="shubetsu201">変更別紙!$D$213</definedName>
    <definedName name="shubetsu202">変更別紙!$D$214</definedName>
    <definedName name="shubetsu203">変更別紙!$D$215</definedName>
    <definedName name="shubetsu204">変更別紙!$D$216</definedName>
    <definedName name="shubetsu205">変更別紙!$D$217</definedName>
    <definedName name="shubetsu206">変更別紙!$D$218</definedName>
    <definedName name="shubetsu207">変更別紙!$D$219</definedName>
    <definedName name="shubetsu208">変更別紙!$D$220</definedName>
    <definedName name="shubetsu209">変更別紙!$D$221</definedName>
    <definedName name="shubetsu210">変更別紙!$D$222</definedName>
    <definedName name="shubetsu211">変更別紙!$D$223</definedName>
    <definedName name="shubetsu212">変更別紙!$D$224</definedName>
    <definedName name="shubetsu213">変更別紙!$D$225</definedName>
    <definedName name="shubetsu214">変更別紙!$D$226</definedName>
    <definedName name="shubetsu215">変更別紙!$D$227</definedName>
    <definedName name="shubetsu216">変更別紙!$D$228</definedName>
    <definedName name="shubetsu217">変更別紙!$D$229</definedName>
    <definedName name="shubetsu218">変更別紙!$D$230</definedName>
    <definedName name="shubetsu219">変更別紙!$D$231</definedName>
    <definedName name="shubetsu220">変更別紙!$D$232</definedName>
    <definedName name="shubetsu221">変更別紙!$D$233</definedName>
    <definedName name="shubetsu222">変更別紙!$D$234</definedName>
    <definedName name="shubetsu223">変更別紙!$D$235</definedName>
    <definedName name="shubetsu224">変更別紙!$D$236</definedName>
    <definedName name="shubetsu225">変更別紙!$D$237</definedName>
    <definedName name="shubetsu226">変更別紙!$D$238</definedName>
    <definedName name="shubetsu227">変更別紙!$D$239</definedName>
    <definedName name="shubetsu228">変更別紙!$D$240</definedName>
    <definedName name="shubetsu229">変更別紙!$D$241</definedName>
    <definedName name="shubetsu230">変更別紙!$D$242</definedName>
    <definedName name="shubetsu231">変更別紙!$D$243</definedName>
    <definedName name="shubetsu232">変更別紙!$D$244</definedName>
    <definedName name="shubetsu233">変更別紙!$D$245</definedName>
    <definedName name="shubetsu234">変更別紙!$D$246</definedName>
    <definedName name="shubetsu235">変更別紙!$D$247</definedName>
    <definedName name="shubetsu236">変更別紙!$D$248</definedName>
    <definedName name="shubetsu237">変更別紙!$D$249</definedName>
    <definedName name="shubetsu238">変更別紙!$D$250</definedName>
    <definedName name="shubetsu239">変更別紙!$D$251</definedName>
    <definedName name="shubetsu240">変更別紙!$D$252</definedName>
    <definedName name="shubetsu241">変更別紙!$D$253</definedName>
    <definedName name="shubetsu242">変更別紙!$D$254</definedName>
    <definedName name="shubetsu243">変更別紙!$D$255</definedName>
    <definedName name="shubetsu244">変更別紙!$D$256</definedName>
    <definedName name="shubetsu245">変更別紙!$D$257</definedName>
    <definedName name="shubetsu246">変更別紙!$D$258</definedName>
    <definedName name="shubetsu247">変更別紙!$D$259</definedName>
    <definedName name="shubetsu248">変更別紙!$D$260</definedName>
    <definedName name="shubetsu249">変更別紙!$D$261</definedName>
    <definedName name="shubetsu250">変更別紙!$D$262</definedName>
    <definedName name="shubetsu251">変更別紙!#REF!</definedName>
    <definedName name="shubetsu252">変更別紙!#REF!</definedName>
    <definedName name="shubetsu253">変更別紙!#REF!</definedName>
    <definedName name="shubetsu254">変更別紙!#REF!</definedName>
    <definedName name="shubetsu255">変更別紙!#REF!</definedName>
    <definedName name="shubetsu256">変更別紙!#REF!</definedName>
    <definedName name="shubetsu257">変更別紙!#REF!</definedName>
    <definedName name="shubetsu258">変更別紙!#REF!</definedName>
    <definedName name="shubetsu259">変更別紙!#REF!</definedName>
    <definedName name="shubetsu260">変更別紙!#REF!</definedName>
    <definedName name="shubetsu261">変更別紙!#REF!</definedName>
    <definedName name="shubetsu262">変更別紙!#REF!</definedName>
    <definedName name="shubetsu263">変更別紙!#REF!</definedName>
    <definedName name="shubetsu264">変更別紙!#REF!</definedName>
    <definedName name="shubetsu265">変更別紙!#REF!</definedName>
    <definedName name="shubetsu266">変更別紙!#REF!</definedName>
    <definedName name="shubetsu267">変更別紙!#REF!</definedName>
    <definedName name="shubetsu268">変更別紙!#REF!</definedName>
    <definedName name="shubetsu269">変更別紙!#REF!</definedName>
    <definedName name="shubetsu270">変更別紙!#REF!</definedName>
    <definedName name="shubetsu271">変更別紙!#REF!</definedName>
    <definedName name="shubetsu272">変更別紙!#REF!</definedName>
    <definedName name="shubetsu273">変更別紙!#REF!</definedName>
    <definedName name="shubetsu274">変更別紙!#REF!</definedName>
    <definedName name="shubetsu275">変更別紙!#REF!</definedName>
    <definedName name="shubetsu276">変更別紙!#REF!</definedName>
    <definedName name="shubetsu277">変更別紙!#REF!</definedName>
    <definedName name="shubetsu278">変更別紙!#REF!</definedName>
    <definedName name="shubetsu279">変更別紙!#REF!</definedName>
    <definedName name="shubetsu280">変更別紙!#REF!</definedName>
    <definedName name="shubetsu281">変更別紙!#REF!</definedName>
    <definedName name="shubetsu282">変更別紙!#REF!</definedName>
    <definedName name="shubetsu283">変更別紙!#REF!</definedName>
    <definedName name="shubetsu284">変更別紙!#REF!</definedName>
    <definedName name="shubetsu285">変更別紙!#REF!</definedName>
    <definedName name="shubetsu286">変更別紙!#REF!</definedName>
    <definedName name="shubetsu287">変更別紙!#REF!</definedName>
    <definedName name="shubetsu288">変更別紙!#REF!</definedName>
    <definedName name="shubetsu289">変更別紙!#REF!</definedName>
    <definedName name="shubetsu290">変更別紙!#REF!</definedName>
    <definedName name="shubetsu291">変更別紙!#REF!</definedName>
    <definedName name="shubetsu292">変更別紙!#REF!</definedName>
    <definedName name="shubetsu293">変更別紙!#REF!</definedName>
    <definedName name="shubetsu294">変更別紙!#REF!</definedName>
    <definedName name="shubetsu295">変更別紙!#REF!</definedName>
    <definedName name="shubetsu296">変更別紙!#REF!</definedName>
    <definedName name="shubetsu297">変更別紙!#REF!</definedName>
    <definedName name="shubetsu298">変更別紙!#REF!</definedName>
    <definedName name="shubetsu299">変更別紙!#REF!</definedName>
    <definedName name="shubetsu300">変更別紙!#REF!</definedName>
    <definedName name="shubetsu301">変更別紙!#REF!</definedName>
    <definedName name="shubetsu302">変更別紙!#REF!</definedName>
    <definedName name="shubetsu303">変更別紙!#REF!</definedName>
    <definedName name="shubetsu304">変更別紙!#REF!</definedName>
    <definedName name="shubetsu305">変更別紙!#REF!</definedName>
    <definedName name="shubetsu306">変更別紙!#REF!</definedName>
    <definedName name="shubetsu307">変更別紙!#REF!</definedName>
    <definedName name="shubetsu308">変更別紙!#REF!</definedName>
    <definedName name="shubetsu309">変更別紙!#REF!</definedName>
    <definedName name="shubetsu310">変更別紙!#REF!</definedName>
    <definedName name="shubetsu311">変更別紙!#REF!</definedName>
    <definedName name="shubetsu312">変更別紙!#REF!</definedName>
    <definedName name="shubetsu313">変更別紙!#REF!</definedName>
    <definedName name="shubetsu314">変更別紙!#REF!</definedName>
    <definedName name="shubetsu315">変更別紙!#REF!</definedName>
    <definedName name="shubetsu316">変更別紙!#REF!</definedName>
    <definedName name="shubetsu317">変更別紙!#REF!</definedName>
    <definedName name="shubetsu318">変更別紙!#REF!</definedName>
    <definedName name="shubetsu319">変更別紙!#REF!</definedName>
    <definedName name="shubetsu320">変更別紙!#REF!</definedName>
    <definedName name="shubetsu321">変更別紙!#REF!</definedName>
    <definedName name="shubetsu322">変更別紙!#REF!</definedName>
    <definedName name="shubetsu323">変更別紙!#REF!</definedName>
    <definedName name="shubetsu324">変更別紙!#REF!</definedName>
    <definedName name="shubetsu325">変更別紙!#REF!</definedName>
    <definedName name="shubetsu326">変更別紙!#REF!</definedName>
    <definedName name="shubetsu327">変更別紙!#REF!</definedName>
    <definedName name="shubetsu328">変更別紙!#REF!</definedName>
    <definedName name="shubetsu329">変更別紙!#REF!</definedName>
    <definedName name="shubetsu330">変更別紙!#REF!</definedName>
    <definedName name="shubetsu331">変更別紙!#REF!</definedName>
    <definedName name="shubetsu332">変更別紙!#REF!</definedName>
    <definedName name="shubetsu333">変更別紙!#REF!</definedName>
    <definedName name="shubetsu334">変更別紙!#REF!</definedName>
    <definedName name="shubetsu335">変更別紙!#REF!</definedName>
    <definedName name="shubetsu336">変更別紙!#REF!</definedName>
    <definedName name="shubetsu337">変更別紙!#REF!</definedName>
    <definedName name="shubetsu338">変更別紙!#REF!</definedName>
    <definedName name="shubetsu339">変更別紙!#REF!</definedName>
    <definedName name="shubetsu340">変更別紙!#REF!</definedName>
    <definedName name="shubetsu341">変更別紙!#REF!</definedName>
    <definedName name="shubetsu342">変更別紙!#REF!</definedName>
    <definedName name="shubetsu343">変更別紙!#REF!</definedName>
    <definedName name="shubetsu344">変更別紙!#REF!</definedName>
    <definedName name="shubetsu345">変更別紙!#REF!</definedName>
    <definedName name="shubetsu346">変更別紙!#REF!</definedName>
    <definedName name="shubetsu347">変更別紙!#REF!</definedName>
    <definedName name="shubetsu348">変更別紙!#REF!</definedName>
    <definedName name="shubetsu349">変更別紙!#REF!</definedName>
    <definedName name="shubetsu350">変更別紙!#REF!</definedName>
    <definedName name="shubetsu351">変更別紙!#REF!</definedName>
    <definedName name="shubetsu352">変更別紙!#REF!</definedName>
    <definedName name="shubetsu353">変更別紙!#REF!</definedName>
    <definedName name="shubetsu354">変更別紙!#REF!</definedName>
    <definedName name="shubetsu355">変更別紙!#REF!</definedName>
    <definedName name="shubetsu356">変更別紙!#REF!</definedName>
    <definedName name="shubetsu357">変更別紙!#REF!</definedName>
    <definedName name="shubetsu358">変更別紙!#REF!</definedName>
    <definedName name="shubetsu359">変更別紙!#REF!</definedName>
    <definedName name="shubetsu360">変更別紙!#REF!</definedName>
    <definedName name="shubetsu361">変更別紙!#REF!</definedName>
    <definedName name="shubetsu362">変更別紙!#REF!</definedName>
    <definedName name="shubetsu363">変更別紙!#REF!</definedName>
    <definedName name="shubetsu364">変更別紙!#REF!</definedName>
    <definedName name="shubetsu365">変更別紙!#REF!</definedName>
    <definedName name="shubetsu366">変更別紙!#REF!</definedName>
    <definedName name="shubetsu367">変更別紙!#REF!</definedName>
    <definedName name="shubetsu368">変更別紙!#REF!</definedName>
    <definedName name="shubetsu369">変更別紙!#REF!</definedName>
    <definedName name="shubetsu370">変更別紙!#REF!</definedName>
    <definedName name="shubetsu371">変更別紙!#REF!</definedName>
    <definedName name="shubetsu372">変更別紙!#REF!</definedName>
    <definedName name="shubetsu373">変更別紙!#REF!</definedName>
    <definedName name="shubetsu374">変更別紙!#REF!</definedName>
    <definedName name="shubetsu375">変更別紙!#REF!</definedName>
    <definedName name="shubetsu376">変更別紙!#REF!</definedName>
    <definedName name="shubetsu377">変更別紙!#REF!</definedName>
    <definedName name="shubetsu378">変更別紙!#REF!</definedName>
    <definedName name="shubetsu379">変更別紙!#REF!</definedName>
    <definedName name="shubetsu380">変更別紙!#REF!</definedName>
    <definedName name="shubetsu381">変更別紙!#REF!</definedName>
    <definedName name="shubetsu382">変更別紙!#REF!</definedName>
    <definedName name="shubetsu383">変更別紙!#REF!</definedName>
    <definedName name="shubetsu384">変更別紙!#REF!</definedName>
    <definedName name="shubetsu385">変更別紙!#REF!</definedName>
    <definedName name="shubetsu386">変更別紙!#REF!</definedName>
    <definedName name="shubetsu387">変更別紙!#REF!</definedName>
    <definedName name="shubetsu388">変更別紙!#REF!</definedName>
    <definedName name="shubetsu389">変更別紙!#REF!</definedName>
    <definedName name="shubetsu390">変更別紙!#REF!</definedName>
    <definedName name="shubetsu391">変更別紙!#REF!</definedName>
    <definedName name="shubetsu392">変更別紙!#REF!</definedName>
    <definedName name="shubetsu393">変更別紙!#REF!</definedName>
    <definedName name="shubetsu394">変更別紙!#REF!</definedName>
    <definedName name="shubetsu395">変更別紙!#REF!</definedName>
    <definedName name="shubetsu396">変更別紙!#REF!</definedName>
    <definedName name="shubetsu397">変更別紙!#REF!</definedName>
    <definedName name="shubetsu398">変更別紙!#REF!</definedName>
    <definedName name="shubetsu399">変更別紙!#REF!</definedName>
    <definedName name="shubetsu400">変更別紙!#REF!</definedName>
    <definedName name="shubetsu401">変更別紙!#REF!</definedName>
    <definedName name="shubetsu402">変更別紙!#REF!</definedName>
    <definedName name="shubetsu403">変更別紙!#REF!</definedName>
    <definedName name="shubetsu404">変更別紙!#REF!</definedName>
    <definedName name="shubetsu405">変更別紙!#REF!</definedName>
    <definedName name="shubetsu406">変更別紙!#REF!</definedName>
    <definedName name="shubetsu407">変更別紙!#REF!</definedName>
    <definedName name="shubetsu408">変更別紙!#REF!</definedName>
    <definedName name="shubetsu409">変更別紙!#REF!</definedName>
    <definedName name="shubetsu410">変更別紙!#REF!</definedName>
    <definedName name="shubetsu411">変更別紙!#REF!</definedName>
    <definedName name="shubetsu412">変更別紙!#REF!</definedName>
    <definedName name="shubetsu413">変更別紙!#REF!</definedName>
    <definedName name="shubetsu414">変更別紙!#REF!</definedName>
    <definedName name="shubetsu415">変更別紙!#REF!</definedName>
    <definedName name="shubetsu416">変更別紙!#REF!</definedName>
    <definedName name="shubetsu417">変更別紙!#REF!</definedName>
    <definedName name="shubetsu418">変更別紙!#REF!</definedName>
    <definedName name="shubetsu419">変更別紙!#REF!</definedName>
    <definedName name="shubetsu420">変更別紙!#REF!</definedName>
    <definedName name="shubetsu421">変更別紙!#REF!</definedName>
    <definedName name="shubetsu422">変更別紙!#REF!</definedName>
    <definedName name="shubetsu423">変更別紙!#REF!</definedName>
    <definedName name="shubetsu424">変更別紙!#REF!</definedName>
    <definedName name="shubetsu425">変更別紙!#REF!</definedName>
    <definedName name="shubetsu426">変更別紙!#REF!</definedName>
    <definedName name="shubetsu427">変更別紙!#REF!</definedName>
    <definedName name="shubetsu428">変更別紙!#REF!</definedName>
    <definedName name="shubetsu429">変更別紙!#REF!</definedName>
    <definedName name="shubetsu430">変更別紙!#REF!</definedName>
    <definedName name="shubetsu431">変更別紙!#REF!</definedName>
    <definedName name="shubetsu432">変更別紙!#REF!</definedName>
    <definedName name="shubetsu433">変更別紙!#REF!</definedName>
    <definedName name="shubetsu434">変更別紙!#REF!</definedName>
    <definedName name="shubetsu435">変更別紙!#REF!</definedName>
    <definedName name="shubetsu436">変更別紙!#REF!</definedName>
    <definedName name="shubetsu437">変更別紙!#REF!</definedName>
    <definedName name="shubetsu438">変更別紙!#REF!</definedName>
    <definedName name="shubetsu439">変更別紙!#REF!</definedName>
    <definedName name="shubetsu440">変更別紙!#REF!</definedName>
    <definedName name="shubetsu441">変更別紙!#REF!</definedName>
    <definedName name="shubetsu442">変更別紙!#REF!</definedName>
    <definedName name="shubetsu443">変更別紙!#REF!</definedName>
    <definedName name="shubetsu444">変更別紙!#REF!</definedName>
    <definedName name="shubetsu445">変更別紙!#REF!</definedName>
    <definedName name="shubetsu446">変更別紙!#REF!</definedName>
    <definedName name="shubetsu447">変更別紙!#REF!</definedName>
    <definedName name="shubetsu448">変更別紙!#REF!</definedName>
    <definedName name="shubetsu449">変更別紙!#REF!</definedName>
    <definedName name="shubetsu450">変更別紙!#REF!</definedName>
    <definedName name="shubetsu451">変更別紙!#REF!</definedName>
    <definedName name="shubetsu452">変更別紙!#REF!</definedName>
    <definedName name="shubetsu453">変更別紙!#REF!</definedName>
    <definedName name="shubetsu454">変更別紙!#REF!</definedName>
    <definedName name="shubetsu455">変更別紙!#REF!</definedName>
    <definedName name="shubetsu456">変更別紙!#REF!</definedName>
    <definedName name="shubetsu457">変更別紙!#REF!</definedName>
    <definedName name="shubetsu458">変更別紙!#REF!</definedName>
    <definedName name="shubetsu459">変更別紙!#REF!</definedName>
    <definedName name="shubetsu460">変更別紙!#REF!</definedName>
    <definedName name="shubetsu461">変更別紙!#REF!</definedName>
    <definedName name="shubetsu462">変更別紙!#REF!</definedName>
    <definedName name="shubetsu463">変更別紙!#REF!</definedName>
    <definedName name="shubetsu464">変更別紙!#REF!</definedName>
    <definedName name="shubetsu465">変更別紙!#REF!</definedName>
    <definedName name="shubetsu466">変更別紙!#REF!</definedName>
    <definedName name="shubetsu467">変更別紙!#REF!</definedName>
    <definedName name="shubetsu468">変更別紙!#REF!</definedName>
    <definedName name="shubetsu469">変更別紙!#REF!</definedName>
    <definedName name="shubetsu470">変更別紙!#REF!</definedName>
    <definedName name="shubetsu471">変更別紙!#REF!</definedName>
    <definedName name="shubetsu472">変更別紙!#REF!</definedName>
    <definedName name="shubetsu473">変更別紙!#REF!</definedName>
    <definedName name="shubetsu474">変更別紙!#REF!</definedName>
    <definedName name="shubetsu475">変更別紙!#REF!</definedName>
    <definedName name="shubetsu476">変更別紙!#REF!</definedName>
    <definedName name="shubetsu477">変更別紙!#REF!</definedName>
    <definedName name="shubetsu478">変更別紙!#REF!</definedName>
    <definedName name="shubetsu479">変更別紙!#REF!</definedName>
    <definedName name="shubetsu480">変更別紙!#REF!</definedName>
    <definedName name="shubetsu481">変更別紙!#REF!</definedName>
    <definedName name="shubetsu482">変更別紙!#REF!</definedName>
    <definedName name="shubetsu483">変更別紙!#REF!</definedName>
    <definedName name="shubetsu484">変更別紙!#REF!</definedName>
    <definedName name="shubetsu485">変更別紙!#REF!</definedName>
    <definedName name="shubetsu486">変更別紙!#REF!</definedName>
    <definedName name="shubetsu487">変更別紙!#REF!</definedName>
    <definedName name="shubetsu488">変更別紙!#REF!</definedName>
    <definedName name="shubetsu489">変更別紙!#REF!</definedName>
    <definedName name="shubetsu490">変更別紙!#REF!</definedName>
    <definedName name="shubetsu491">変更別紙!#REF!</definedName>
    <definedName name="shubetsu492">変更別紙!#REF!</definedName>
    <definedName name="shubetsu493">変更別紙!#REF!</definedName>
    <definedName name="shubetsu494">変更別紙!#REF!</definedName>
    <definedName name="shubetsu495">変更別紙!#REF!</definedName>
    <definedName name="shubetsu496">変更別紙!#REF!</definedName>
    <definedName name="shubetsu497">変更別紙!#REF!</definedName>
    <definedName name="shubetsu498">変更別紙!#REF!</definedName>
    <definedName name="shubetsu499">変更別紙!#REF!</definedName>
    <definedName name="shubetsu500">変更別紙!#REF!</definedName>
    <definedName name="shutoku001">変更別紙!$M$13</definedName>
    <definedName name="shutoku002">変更別紙!$M$14</definedName>
    <definedName name="shutoku003">変更別紙!$M$15</definedName>
    <definedName name="shutoku004">変更別紙!$M$16</definedName>
    <definedName name="shutoku005">変更別紙!$M$17</definedName>
    <definedName name="shutoku006">変更別紙!$M$18</definedName>
    <definedName name="shutoku007">変更別紙!$M$19</definedName>
    <definedName name="shutoku008">変更別紙!$M$20</definedName>
    <definedName name="shutoku009">変更別紙!$M$21</definedName>
    <definedName name="shutoku010">変更別紙!$M$22</definedName>
    <definedName name="shutoku011">変更別紙!$M$23</definedName>
    <definedName name="shutoku012">変更別紙!$M$24</definedName>
    <definedName name="shutoku013">変更別紙!$M$25</definedName>
    <definedName name="shutoku014">変更別紙!$M$26</definedName>
    <definedName name="shutoku015">変更別紙!$M$27</definedName>
    <definedName name="shutoku016">変更別紙!$M$28</definedName>
    <definedName name="shutoku017">変更別紙!$M$29</definedName>
    <definedName name="shutoku018">変更別紙!$M$30</definedName>
    <definedName name="shutoku019">変更別紙!$M$31</definedName>
    <definedName name="shutoku020">変更別紙!$M$32</definedName>
    <definedName name="shutoku021">変更別紙!$M$33</definedName>
    <definedName name="shutoku022">変更別紙!$M$34</definedName>
    <definedName name="shutoku023">変更別紙!$M$35</definedName>
    <definedName name="shutoku024">変更別紙!$M$36</definedName>
    <definedName name="shutoku025">変更別紙!$M$37</definedName>
    <definedName name="shutoku026">変更別紙!$M$38</definedName>
    <definedName name="shutoku027">変更別紙!$M$39</definedName>
    <definedName name="shutoku028">変更別紙!$M$40</definedName>
    <definedName name="shutoku029">変更別紙!$M$41</definedName>
    <definedName name="shutoku030">変更別紙!$M$42</definedName>
    <definedName name="shutoku031">変更別紙!$M$43</definedName>
    <definedName name="shutoku032">変更別紙!$M$44</definedName>
    <definedName name="shutoku033">変更別紙!$M$45</definedName>
    <definedName name="shutoku034">変更別紙!$M$46</definedName>
    <definedName name="shutoku035">変更別紙!$M$47</definedName>
    <definedName name="shutoku036">変更別紙!$M$48</definedName>
    <definedName name="shutoku037">変更別紙!$M$49</definedName>
    <definedName name="shutoku038">変更別紙!$M$50</definedName>
    <definedName name="shutoku039">変更別紙!$M$51</definedName>
    <definedName name="shutoku040">変更別紙!$M$52</definedName>
    <definedName name="shutoku041">変更別紙!$M$53</definedName>
    <definedName name="shutoku042">変更別紙!$M$54</definedName>
    <definedName name="shutoku043">変更別紙!$M$55</definedName>
    <definedName name="shutoku044">変更別紙!$M$56</definedName>
    <definedName name="shutoku045">変更別紙!$M$57</definedName>
    <definedName name="shutoku046">変更別紙!$M$58</definedName>
    <definedName name="shutoku047">変更別紙!$M$59</definedName>
    <definedName name="shutoku048">変更別紙!$M$60</definedName>
    <definedName name="shutoku049">変更別紙!$M$61</definedName>
    <definedName name="shutoku050">変更別紙!$M$62</definedName>
    <definedName name="shutoku051">変更別紙!$M$63</definedName>
    <definedName name="shutoku052">変更別紙!$M$64</definedName>
    <definedName name="shutoku053">変更別紙!$M$65</definedName>
    <definedName name="shutoku054">変更別紙!$M$66</definedName>
    <definedName name="shutoku055">変更別紙!$M$67</definedName>
    <definedName name="shutoku056">変更別紙!$M$68</definedName>
    <definedName name="shutoku057">変更別紙!$M$69</definedName>
    <definedName name="shutoku058">変更別紙!$M$70</definedName>
    <definedName name="shutoku059">変更別紙!$M$71</definedName>
    <definedName name="shutoku060">変更別紙!$M$72</definedName>
    <definedName name="shutoku061">変更別紙!$M$73</definedName>
    <definedName name="shutoku062">変更別紙!$M$74</definedName>
    <definedName name="shutoku063">変更別紙!$M$75</definedName>
    <definedName name="shutoku064">変更別紙!$M$76</definedName>
    <definedName name="shutoku065">変更別紙!$M$77</definedName>
    <definedName name="shutoku066">変更別紙!$M$78</definedName>
    <definedName name="shutoku067">変更別紙!$M$79</definedName>
    <definedName name="shutoku068">変更別紙!$M$80</definedName>
    <definedName name="shutoku069">変更別紙!$M$81</definedName>
    <definedName name="shutoku070">変更別紙!$M$82</definedName>
    <definedName name="shutoku071">変更別紙!$M$83</definedName>
    <definedName name="shutoku072">変更別紙!$M$84</definedName>
    <definedName name="shutoku073">変更別紙!$M$85</definedName>
    <definedName name="shutoku074">変更別紙!$M$86</definedName>
    <definedName name="shutoku075">変更別紙!$M$87</definedName>
    <definedName name="shutoku076">変更別紙!$M$88</definedName>
    <definedName name="shutoku077">変更別紙!$M$89</definedName>
    <definedName name="shutoku078">変更別紙!$M$90</definedName>
    <definedName name="shutoku079">変更別紙!$M$91</definedName>
    <definedName name="shutoku080">変更別紙!$M$92</definedName>
    <definedName name="shutoku081">変更別紙!$M$93</definedName>
    <definedName name="shutoku082">変更別紙!$M$94</definedName>
    <definedName name="shutoku083">変更別紙!$M$95</definedName>
    <definedName name="shutoku084">変更別紙!$M$96</definedName>
    <definedName name="shutoku085">変更別紙!$M$97</definedName>
    <definedName name="shutoku086">変更別紙!$M$98</definedName>
    <definedName name="shutoku087">変更別紙!$M$99</definedName>
    <definedName name="shutoku088">変更別紙!$M$100</definedName>
    <definedName name="shutoku089">変更別紙!$M$101</definedName>
    <definedName name="shutoku090">変更別紙!$M$102</definedName>
    <definedName name="shutoku091">変更別紙!$M$103</definedName>
    <definedName name="shutoku092">変更別紙!$M$104</definedName>
    <definedName name="shutoku093">変更別紙!$M$105</definedName>
    <definedName name="shutoku094">変更別紙!$M$106</definedName>
    <definedName name="shutoku095">変更別紙!$M$107</definedName>
    <definedName name="shutoku096">変更別紙!$M$108</definedName>
    <definedName name="shutoku097">変更別紙!$M$109</definedName>
    <definedName name="shutoku098">変更別紙!$M$110</definedName>
    <definedName name="shutoku099">変更別紙!$M$111</definedName>
    <definedName name="shutoku100">変更別紙!$M$112</definedName>
    <definedName name="shutoku101">変更別紙!$M$113</definedName>
    <definedName name="shutoku102">変更別紙!$M$114</definedName>
    <definedName name="shutoku103">変更別紙!$M$115</definedName>
    <definedName name="shutoku104">変更別紙!$M$116</definedName>
    <definedName name="shutoku105">変更別紙!$M$117</definedName>
    <definedName name="shutoku106">変更別紙!$M$118</definedName>
    <definedName name="shutoku107">変更別紙!$M$119</definedName>
    <definedName name="shutoku108">変更別紙!$M$120</definedName>
    <definedName name="shutoku109">変更別紙!$M$121</definedName>
    <definedName name="shutoku110">変更別紙!$M$122</definedName>
    <definedName name="shutoku111">変更別紙!$M$123</definedName>
    <definedName name="shutoku112">変更別紙!$M$124</definedName>
    <definedName name="shutoku113">変更別紙!$M$125</definedName>
    <definedName name="shutoku114">変更別紙!$M$126</definedName>
    <definedName name="shutoku115">変更別紙!$M$127</definedName>
    <definedName name="shutoku116">変更別紙!$M$128</definedName>
    <definedName name="shutoku117">変更別紙!$M$129</definedName>
    <definedName name="shutoku118">変更別紙!$M$130</definedName>
    <definedName name="shutoku119">変更別紙!$M$131</definedName>
    <definedName name="shutoku120">変更別紙!$M$132</definedName>
    <definedName name="shutoku121">変更別紙!$M$133</definedName>
    <definedName name="shutoku122">変更別紙!$M$134</definedName>
    <definedName name="shutoku123">変更別紙!$M$135</definedName>
    <definedName name="shutoku124">変更別紙!$M$136</definedName>
    <definedName name="shutoku125">変更別紙!$M$137</definedName>
    <definedName name="shutoku126">変更別紙!$M$138</definedName>
    <definedName name="shutoku127">変更別紙!$M$139</definedName>
    <definedName name="shutoku128">変更別紙!$M$140</definedName>
    <definedName name="shutoku129">変更別紙!$M$141</definedName>
    <definedName name="shutoku130">変更別紙!$M$142</definedName>
    <definedName name="shutoku131">変更別紙!$M$143</definedName>
    <definedName name="shutoku132">変更別紙!$M$144</definedName>
    <definedName name="shutoku133">変更別紙!$M$145</definedName>
    <definedName name="shutoku134">変更別紙!$M$146</definedName>
    <definedName name="shutoku135">変更別紙!$M$147</definedName>
    <definedName name="shutoku136">変更別紙!$M$148</definedName>
    <definedName name="shutoku137">変更別紙!$M$149</definedName>
    <definedName name="shutoku138">変更別紙!$M$150</definedName>
    <definedName name="shutoku139">変更別紙!$M$151</definedName>
    <definedName name="shutoku140">変更別紙!$M$152</definedName>
    <definedName name="shutoku141">変更別紙!$M$153</definedName>
    <definedName name="shutoku142">変更別紙!$M$154</definedName>
    <definedName name="shutoku143">変更別紙!$M$155</definedName>
    <definedName name="shutoku144">変更別紙!$M$156</definedName>
    <definedName name="shutoku145">変更別紙!$M$157</definedName>
    <definedName name="shutoku146">変更別紙!$M$158</definedName>
    <definedName name="shutoku147">変更別紙!$M$159</definedName>
    <definedName name="shutoku148">変更別紙!$M$160</definedName>
    <definedName name="shutoku149">変更別紙!$M$161</definedName>
    <definedName name="shutoku150">変更別紙!$M$162</definedName>
    <definedName name="shutoku151">変更別紙!$M$163</definedName>
    <definedName name="shutoku152">変更別紙!$M$164</definedName>
    <definedName name="shutoku153">変更別紙!$M$165</definedName>
    <definedName name="shutoku154">変更別紙!$M$166</definedName>
    <definedName name="shutoku155">変更別紙!$M$167</definedName>
    <definedName name="shutoku156">変更別紙!$M$168</definedName>
    <definedName name="shutoku157">変更別紙!$M$169</definedName>
    <definedName name="shutoku158">変更別紙!$M$170</definedName>
    <definedName name="shutoku159">変更別紙!$M$171</definedName>
    <definedName name="shutoku160">変更別紙!$M$172</definedName>
    <definedName name="shutoku161">変更別紙!$M$173</definedName>
    <definedName name="shutoku162">変更別紙!$M$174</definedName>
    <definedName name="shutoku163">変更別紙!$M$175</definedName>
    <definedName name="shutoku164">変更別紙!$M$176</definedName>
    <definedName name="shutoku165">変更別紙!$M$177</definedName>
    <definedName name="shutoku166">変更別紙!$M$178</definedName>
    <definedName name="shutoku167">変更別紙!$M$179</definedName>
    <definedName name="shutoku168">変更別紙!$M$180</definedName>
    <definedName name="shutoku169">変更別紙!$M$181</definedName>
    <definedName name="shutoku170">変更別紙!$M$182</definedName>
    <definedName name="shutoku171">変更別紙!$M$183</definedName>
    <definedName name="shutoku172">変更別紙!$M$184</definedName>
    <definedName name="shutoku173">変更別紙!$M$185</definedName>
    <definedName name="shutoku174">変更別紙!$M$186</definedName>
    <definedName name="shutoku175">変更別紙!$M$187</definedName>
    <definedName name="shutoku176">変更別紙!$M$188</definedName>
    <definedName name="shutoku177">変更別紙!$M$189</definedName>
    <definedName name="shutoku178">変更別紙!$M$190</definedName>
    <definedName name="shutoku179">変更別紙!$M$191</definedName>
    <definedName name="shutoku180">変更別紙!$M$192</definedName>
    <definedName name="shutoku181">変更別紙!$M$193</definedName>
    <definedName name="shutoku182">変更別紙!$M$194</definedName>
    <definedName name="shutoku183">変更別紙!$M$195</definedName>
    <definedName name="shutoku184">変更別紙!$M$196</definedName>
    <definedName name="shutoku185">変更別紙!$M$197</definedName>
    <definedName name="shutoku186">変更別紙!$M$198</definedName>
    <definedName name="shutoku187">変更別紙!$M$199</definedName>
    <definedName name="shutoku188">変更別紙!$M$200</definedName>
    <definedName name="shutoku189">変更別紙!$M$201</definedName>
    <definedName name="shutoku190">変更別紙!$M$202</definedName>
    <definedName name="shutoku191">変更別紙!$M$203</definedName>
    <definedName name="shutoku192">変更別紙!$M$204</definedName>
    <definedName name="shutoku193">変更別紙!$M$205</definedName>
    <definedName name="shutoku194">変更別紙!$M$206</definedName>
    <definedName name="shutoku195">変更別紙!$M$207</definedName>
    <definedName name="shutoku196">変更別紙!$M$208</definedName>
    <definedName name="shutoku197">変更別紙!$M$209</definedName>
    <definedName name="shutoku198">変更別紙!$M$210</definedName>
    <definedName name="shutoku199">変更別紙!$M$211</definedName>
    <definedName name="shutoku200">変更別紙!$M$212</definedName>
    <definedName name="shutoku201">変更別紙!$M$213</definedName>
    <definedName name="shutoku202">変更別紙!$M$214</definedName>
    <definedName name="shutoku203">変更別紙!$M$215</definedName>
    <definedName name="shutoku204">変更別紙!$M$216</definedName>
    <definedName name="shutoku205">変更別紙!$M$217</definedName>
    <definedName name="shutoku206">変更別紙!$M$218</definedName>
    <definedName name="shutoku207">変更別紙!$M$219</definedName>
    <definedName name="shutoku208">変更別紙!$M$220</definedName>
    <definedName name="shutoku209">変更別紙!$M$221</definedName>
    <definedName name="shutoku210">変更別紙!$M$222</definedName>
    <definedName name="shutoku211">変更別紙!$M$223</definedName>
    <definedName name="shutoku212">変更別紙!$M$224</definedName>
    <definedName name="shutoku213">変更別紙!$M$225</definedName>
    <definedName name="shutoku214">変更別紙!$M$226</definedName>
    <definedName name="shutoku215">変更別紙!$M$227</definedName>
    <definedName name="shutoku216">変更別紙!$M$228</definedName>
    <definedName name="shutoku217">変更別紙!$M$229</definedName>
    <definedName name="shutoku218">変更別紙!$M$230</definedName>
    <definedName name="shutoku219">変更別紙!$M$231</definedName>
    <definedName name="shutoku220">変更別紙!$M$232</definedName>
    <definedName name="shutoku221">変更別紙!$M$233</definedName>
    <definedName name="shutoku222">変更別紙!$M$234</definedName>
    <definedName name="shutoku223">変更別紙!$M$235</definedName>
    <definedName name="shutoku224">変更別紙!$M$236</definedName>
    <definedName name="shutoku225">変更別紙!$M$237</definedName>
    <definedName name="shutoku226">変更別紙!$M$238</definedName>
    <definedName name="shutoku227">変更別紙!$M$239</definedName>
    <definedName name="shutoku228">変更別紙!$M$240</definedName>
    <definedName name="shutoku229">変更別紙!$M$241</definedName>
    <definedName name="shutoku230">変更別紙!$M$242</definedName>
    <definedName name="shutoku231">変更別紙!$M$243</definedName>
    <definedName name="shutoku232">変更別紙!$M$244</definedName>
    <definedName name="shutoku233">変更別紙!$M$245</definedName>
    <definedName name="shutoku234">変更別紙!$M$246</definedName>
    <definedName name="shutoku235">変更別紙!$M$247</definedName>
    <definedName name="shutoku236">変更別紙!$M$248</definedName>
    <definedName name="shutoku237">変更別紙!$M$249</definedName>
    <definedName name="shutoku238">変更別紙!$M$250</definedName>
    <definedName name="shutoku239">変更別紙!$M$251</definedName>
    <definedName name="shutoku240">変更別紙!$M$252</definedName>
    <definedName name="shutoku241">変更別紙!$M$253</definedName>
    <definedName name="shutoku242">変更別紙!$M$254</definedName>
    <definedName name="shutoku243">変更別紙!$M$255</definedName>
    <definedName name="shutoku244">変更別紙!$M$256</definedName>
    <definedName name="shutoku245">変更別紙!$M$257</definedName>
    <definedName name="shutoku246">変更別紙!$M$258</definedName>
    <definedName name="shutoku247">変更別紙!$M$259</definedName>
    <definedName name="shutoku248">変更別紙!$M$260</definedName>
    <definedName name="shutoku249">変更別紙!$M$261</definedName>
    <definedName name="shutoku250">変更別紙!$M$262</definedName>
    <definedName name="shutoku251">変更別紙!#REF!</definedName>
    <definedName name="shutoku252">変更別紙!#REF!</definedName>
    <definedName name="shutoku253">変更別紙!#REF!</definedName>
    <definedName name="shutoku254">変更別紙!#REF!</definedName>
    <definedName name="shutoku255">変更別紙!#REF!</definedName>
    <definedName name="shutoku256">変更別紙!#REF!</definedName>
    <definedName name="shutoku257">変更別紙!#REF!</definedName>
    <definedName name="shutoku258">変更別紙!#REF!</definedName>
    <definedName name="shutoku259">変更別紙!#REF!</definedName>
    <definedName name="shutoku260">変更別紙!#REF!</definedName>
    <definedName name="shutoku261">変更別紙!#REF!</definedName>
    <definedName name="shutoku262">変更別紙!#REF!</definedName>
    <definedName name="shutoku263">変更別紙!#REF!</definedName>
    <definedName name="shutoku264">変更別紙!#REF!</definedName>
    <definedName name="shutoku265">変更別紙!#REF!</definedName>
    <definedName name="shutoku266">変更別紙!#REF!</definedName>
    <definedName name="shutoku267">変更別紙!#REF!</definedName>
    <definedName name="shutoku268">変更別紙!#REF!</definedName>
    <definedName name="shutoku269">変更別紙!#REF!</definedName>
    <definedName name="shutoku270">変更別紙!#REF!</definedName>
    <definedName name="shutoku271">変更別紙!#REF!</definedName>
    <definedName name="shutoku272">変更別紙!#REF!</definedName>
    <definedName name="shutoku273">変更別紙!#REF!</definedName>
    <definedName name="shutoku274">変更別紙!#REF!</definedName>
    <definedName name="shutoku275">変更別紙!#REF!</definedName>
    <definedName name="shutoku276">変更別紙!#REF!</definedName>
    <definedName name="shutoku277">変更別紙!#REF!</definedName>
    <definedName name="shutoku278">変更別紙!#REF!</definedName>
    <definedName name="shutoku279">変更別紙!#REF!</definedName>
    <definedName name="shutoku280">変更別紙!#REF!</definedName>
    <definedName name="shutoku281">変更別紙!#REF!</definedName>
    <definedName name="shutoku282">変更別紙!#REF!</definedName>
    <definedName name="shutoku283">変更別紙!#REF!</definedName>
    <definedName name="shutoku284">変更別紙!#REF!</definedName>
    <definedName name="shutoku285">変更別紙!#REF!</definedName>
    <definedName name="shutoku286">変更別紙!#REF!</definedName>
    <definedName name="shutoku287">変更別紙!#REF!</definedName>
    <definedName name="shutoku288">変更別紙!#REF!</definedName>
    <definedName name="shutoku289">変更別紙!#REF!</definedName>
    <definedName name="shutoku290">変更別紙!#REF!</definedName>
    <definedName name="shutoku291">変更別紙!#REF!</definedName>
    <definedName name="shutoku292">変更別紙!#REF!</definedName>
    <definedName name="shutoku293">変更別紙!#REF!</definedName>
    <definedName name="shutoku294">変更別紙!#REF!</definedName>
    <definedName name="shutoku295">変更別紙!#REF!</definedName>
    <definedName name="shutoku296">変更別紙!#REF!</definedName>
    <definedName name="shutoku297">変更別紙!#REF!</definedName>
    <definedName name="shutoku298">変更別紙!#REF!</definedName>
    <definedName name="shutoku299">変更別紙!#REF!</definedName>
    <definedName name="shutoku300">変更別紙!#REF!</definedName>
    <definedName name="shutoku301">変更別紙!#REF!</definedName>
    <definedName name="shutoku302">変更別紙!#REF!</definedName>
    <definedName name="shutoku303">変更別紙!#REF!</definedName>
    <definedName name="shutoku304">変更別紙!#REF!</definedName>
    <definedName name="shutoku305">変更別紙!#REF!</definedName>
    <definedName name="shutoku306">変更別紙!#REF!</definedName>
    <definedName name="shutoku307">変更別紙!#REF!</definedName>
    <definedName name="shutoku308">変更別紙!#REF!</definedName>
    <definedName name="shutoku309">変更別紙!#REF!</definedName>
    <definedName name="shutoku310">変更別紙!#REF!</definedName>
    <definedName name="shutoku311">変更別紙!#REF!</definedName>
    <definedName name="shutoku312">変更別紙!#REF!</definedName>
    <definedName name="shutoku313">変更別紙!#REF!</definedName>
    <definedName name="shutoku314">変更別紙!#REF!</definedName>
    <definedName name="shutoku315">変更別紙!#REF!</definedName>
    <definedName name="shutoku316">変更別紙!#REF!</definedName>
    <definedName name="shutoku317">変更別紙!#REF!</definedName>
    <definedName name="shutoku318">変更別紙!#REF!</definedName>
    <definedName name="shutoku319">変更別紙!#REF!</definedName>
    <definedName name="shutoku320">変更別紙!#REF!</definedName>
    <definedName name="shutoku321">変更別紙!#REF!</definedName>
    <definedName name="shutoku322">変更別紙!#REF!</definedName>
    <definedName name="shutoku323">変更別紙!#REF!</definedName>
    <definedName name="shutoku324">変更別紙!#REF!</definedName>
    <definedName name="shutoku325">変更別紙!#REF!</definedName>
    <definedName name="shutoku326">変更別紙!#REF!</definedName>
    <definedName name="shutoku327">変更別紙!#REF!</definedName>
    <definedName name="shutoku328">変更別紙!#REF!</definedName>
    <definedName name="shutoku329">変更別紙!#REF!</definedName>
    <definedName name="shutoku330">変更別紙!#REF!</definedName>
    <definedName name="shutoku331">変更別紙!#REF!</definedName>
    <definedName name="shutoku332">変更別紙!#REF!</definedName>
    <definedName name="shutoku333">変更別紙!#REF!</definedName>
    <definedName name="shutoku334">変更別紙!#REF!</definedName>
    <definedName name="shutoku335">変更別紙!#REF!</definedName>
    <definedName name="shutoku336">変更別紙!#REF!</definedName>
    <definedName name="shutoku337">変更別紙!#REF!</definedName>
    <definedName name="shutoku338">変更別紙!#REF!</definedName>
    <definedName name="shutoku339">変更別紙!#REF!</definedName>
    <definedName name="shutoku340">変更別紙!#REF!</definedName>
    <definedName name="shutoku341">変更別紙!#REF!</definedName>
    <definedName name="shutoku342">変更別紙!#REF!</definedName>
    <definedName name="shutoku343">変更別紙!#REF!</definedName>
    <definedName name="shutoku344">変更別紙!#REF!</definedName>
    <definedName name="shutoku345">変更別紙!#REF!</definedName>
    <definedName name="shutoku346">変更別紙!#REF!</definedName>
    <definedName name="shutoku347">変更別紙!#REF!</definedName>
    <definedName name="shutoku348">変更別紙!#REF!</definedName>
    <definedName name="shutoku349">変更別紙!#REF!</definedName>
    <definedName name="shutoku350">変更別紙!#REF!</definedName>
    <definedName name="shutoku351">変更別紙!#REF!</definedName>
    <definedName name="shutoku352">変更別紙!#REF!</definedName>
    <definedName name="shutoku353">変更別紙!#REF!</definedName>
    <definedName name="shutoku354">変更別紙!#REF!</definedName>
    <definedName name="shutoku355">変更別紙!#REF!</definedName>
    <definedName name="shutoku356">変更別紙!#REF!</definedName>
    <definedName name="shutoku357">変更別紙!#REF!</definedName>
    <definedName name="shutoku358">変更別紙!#REF!</definedName>
    <definedName name="shutoku359">変更別紙!#REF!</definedName>
    <definedName name="shutoku360">変更別紙!#REF!</definedName>
    <definedName name="shutoku361">変更別紙!#REF!</definedName>
    <definedName name="shutoku362">変更別紙!#REF!</definedName>
    <definedName name="shutoku363">変更別紙!#REF!</definedName>
    <definedName name="shutoku364">変更別紙!#REF!</definedName>
    <definedName name="shutoku365">変更別紙!#REF!</definedName>
    <definedName name="shutoku366">変更別紙!#REF!</definedName>
    <definedName name="shutoku367">変更別紙!#REF!</definedName>
    <definedName name="shutoku368">変更別紙!#REF!</definedName>
    <definedName name="shutoku369">変更別紙!#REF!</definedName>
    <definedName name="shutoku370">変更別紙!#REF!</definedName>
    <definedName name="shutoku371">変更別紙!#REF!</definedName>
    <definedName name="shutoku372">変更別紙!#REF!</definedName>
    <definedName name="shutoku373">変更別紙!#REF!</definedName>
    <definedName name="shutoku374">変更別紙!#REF!</definedName>
    <definedName name="shutoku375">変更別紙!#REF!</definedName>
    <definedName name="shutoku376">変更別紙!#REF!</definedName>
    <definedName name="shutoku377">変更別紙!#REF!</definedName>
    <definedName name="shutoku378">変更別紙!#REF!</definedName>
    <definedName name="shutoku379">変更別紙!#REF!</definedName>
    <definedName name="shutoku380">変更別紙!#REF!</definedName>
    <definedName name="shutoku381">変更別紙!#REF!</definedName>
    <definedName name="shutoku382">変更別紙!#REF!</definedName>
    <definedName name="shutoku383">変更別紙!#REF!</definedName>
    <definedName name="shutoku384">変更別紙!#REF!</definedName>
    <definedName name="shutoku385">変更別紙!#REF!</definedName>
    <definedName name="shutoku386">変更別紙!#REF!</definedName>
    <definedName name="shutoku387">変更別紙!#REF!</definedName>
    <definedName name="shutoku388">変更別紙!#REF!</definedName>
    <definedName name="shutoku389">変更別紙!#REF!</definedName>
    <definedName name="shutoku390">変更別紙!#REF!</definedName>
    <definedName name="shutoku391">変更別紙!#REF!</definedName>
    <definedName name="shutoku392">変更別紙!#REF!</definedName>
    <definedName name="shutoku393">変更別紙!#REF!</definedName>
    <definedName name="shutoku394">変更別紙!#REF!</definedName>
    <definedName name="shutoku395">変更別紙!#REF!</definedName>
    <definedName name="shutoku396">変更別紙!#REF!</definedName>
    <definedName name="shutoku397">変更別紙!#REF!</definedName>
    <definedName name="shutoku398">変更別紙!#REF!</definedName>
    <definedName name="shutoku399">変更別紙!#REF!</definedName>
    <definedName name="shutoku400">変更別紙!#REF!</definedName>
    <definedName name="shutoku401">変更別紙!#REF!</definedName>
    <definedName name="shutoku402">変更別紙!#REF!</definedName>
    <definedName name="shutoku403">変更別紙!#REF!</definedName>
    <definedName name="shutoku404">変更別紙!#REF!</definedName>
    <definedName name="shutoku405">変更別紙!#REF!</definedName>
    <definedName name="shutoku406">変更別紙!#REF!</definedName>
    <definedName name="shutoku407">変更別紙!#REF!</definedName>
    <definedName name="shutoku408">変更別紙!#REF!</definedName>
    <definedName name="shutoku409">変更別紙!#REF!</definedName>
    <definedName name="shutoku410">変更別紙!#REF!</definedName>
    <definedName name="shutoku411">変更別紙!#REF!</definedName>
    <definedName name="shutoku412">変更別紙!#REF!</definedName>
    <definedName name="shutoku413">変更別紙!#REF!</definedName>
    <definedName name="shutoku414">変更別紙!#REF!</definedName>
    <definedName name="shutoku415">変更別紙!#REF!</definedName>
    <definedName name="shutoku416">変更別紙!#REF!</definedName>
    <definedName name="shutoku417">変更別紙!#REF!</definedName>
    <definedName name="shutoku418">変更別紙!#REF!</definedName>
    <definedName name="shutoku419">変更別紙!#REF!</definedName>
    <definedName name="shutoku420">変更別紙!#REF!</definedName>
    <definedName name="shutoku421">変更別紙!#REF!</definedName>
    <definedName name="shutoku422">変更別紙!#REF!</definedName>
    <definedName name="shutoku423">変更別紙!#REF!</definedName>
    <definedName name="shutoku424">変更別紙!#REF!</definedName>
    <definedName name="shutoku425">変更別紙!#REF!</definedName>
    <definedName name="shutoku426">変更別紙!#REF!</definedName>
    <definedName name="shutoku427">変更別紙!#REF!</definedName>
    <definedName name="shutoku428">変更別紙!#REF!</definedName>
    <definedName name="shutoku429">変更別紙!#REF!</definedName>
    <definedName name="shutoku430">変更別紙!#REF!</definedName>
    <definedName name="shutoku431">変更別紙!#REF!</definedName>
    <definedName name="shutoku432">変更別紙!#REF!</definedName>
    <definedName name="shutoku433">変更別紙!#REF!</definedName>
    <definedName name="shutoku434">変更別紙!#REF!</definedName>
    <definedName name="shutoku435">変更別紙!#REF!</definedName>
    <definedName name="shutoku436">変更別紙!#REF!</definedName>
    <definedName name="shutoku437">変更別紙!#REF!</definedName>
    <definedName name="shutoku438">変更別紙!#REF!</definedName>
    <definedName name="shutoku439">変更別紙!#REF!</definedName>
    <definedName name="shutoku440">変更別紙!#REF!</definedName>
    <definedName name="shutoku441">変更別紙!#REF!</definedName>
    <definedName name="shutoku442">変更別紙!#REF!</definedName>
    <definedName name="shutoku443">変更別紙!#REF!</definedName>
    <definedName name="shutoku444">変更別紙!#REF!</definedName>
    <definedName name="shutoku445">変更別紙!#REF!</definedName>
    <definedName name="shutoku446">変更別紙!#REF!</definedName>
    <definedName name="shutoku447">変更別紙!#REF!</definedName>
    <definedName name="shutoku448">変更別紙!#REF!</definedName>
    <definedName name="shutoku449">変更別紙!#REF!</definedName>
    <definedName name="shutoku450">変更別紙!#REF!</definedName>
    <definedName name="shutoku451">変更別紙!#REF!</definedName>
    <definedName name="shutoku452">変更別紙!#REF!</definedName>
    <definedName name="shutoku453">変更別紙!#REF!</definedName>
    <definedName name="shutoku454">変更別紙!#REF!</definedName>
    <definedName name="shutoku455">変更別紙!#REF!</definedName>
    <definedName name="shutoku456">変更別紙!#REF!</definedName>
    <definedName name="shutoku457">変更別紙!#REF!</definedName>
    <definedName name="shutoku458">変更別紙!#REF!</definedName>
    <definedName name="shutoku459">変更別紙!#REF!</definedName>
    <definedName name="shutoku460">変更別紙!#REF!</definedName>
    <definedName name="shutoku461">変更別紙!#REF!</definedName>
    <definedName name="shutoku462">変更別紙!#REF!</definedName>
    <definedName name="shutoku463">変更別紙!#REF!</definedName>
    <definedName name="shutoku464">変更別紙!#REF!</definedName>
    <definedName name="shutoku465">変更別紙!#REF!</definedName>
    <definedName name="shutoku466">変更別紙!#REF!</definedName>
    <definedName name="shutoku467">変更別紙!#REF!</definedName>
    <definedName name="shutoku468">変更別紙!#REF!</definedName>
    <definedName name="shutoku469">変更別紙!#REF!</definedName>
    <definedName name="shutoku470">変更別紙!#REF!</definedName>
    <definedName name="shutoku471">変更別紙!#REF!</definedName>
    <definedName name="shutoku472">変更別紙!#REF!</definedName>
    <definedName name="shutoku473">変更別紙!#REF!</definedName>
    <definedName name="shutoku474">変更別紙!#REF!</definedName>
    <definedName name="shutoku475">変更別紙!#REF!</definedName>
    <definedName name="shutoku476">変更別紙!#REF!</definedName>
    <definedName name="shutoku477">変更別紙!#REF!</definedName>
    <definedName name="shutoku478">変更別紙!#REF!</definedName>
    <definedName name="shutoku479">変更別紙!#REF!</definedName>
    <definedName name="shutoku480">変更別紙!#REF!</definedName>
    <definedName name="shutoku481">変更別紙!#REF!</definedName>
    <definedName name="shutoku482">変更別紙!#REF!</definedName>
    <definedName name="shutoku483">変更別紙!#REF!</definedName>
    <definedName name="shutoku484">変更別紙!#REF!</definedName>
    <definedName name="shutoku485">変更別紙!#REF!</definedName>
    <definedName name="shutoku486">変更別紙!#REF!</definedName>
    <definedName name="shutoku487">変更別紙!#REF!</definedName>
    <definedName name="shutoku488">変更別紙!#REF!</definedName>
    <definedName name="shutoku489">変更別紙!#REF!</definedName>
    <definedName name="shutoku490">変更別紙!#REF!</definedName>
    <definedName name="shutoku491">変更別紙!#REF!</definedName>
    <definedName name="shutoku492">変更別紙!#REF!</definedName>
    <definedName name="shutoku493">変更別紙!#REF!</definedName>
    <definedName name="shutoku494">変更別紙!#REF!</definedName>
    <definedName name="shutoku495">変更別紙!#REF!</definedName>
    <definedName name="shutoku496">変更別紙!#REF!</definedName>
    <definedName name="shutoku497">変更別紙!#REF!</definedName>
    <definedName name="shutoku498">変更別紙!#REF!</definedName>
    <definedName name="shutoku499">変更別紙!#REF!</definedName>
    <definedName name="shutoku500">変更別紙!#REF!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A3" i="2" l="1"/>
  <c r="AA2" i="2"/>
  <c r="AA1" i="2"/>
  <c r="D14" i="8"/>
  <c r="D15" i="8"/>
  <c r="D16" i="8"/>
  <c r="D17" i="8"/>
  <c r="D18" i="8"/>
  <c r="D19" i="8"/>
  <c r="D20" i="8"/>
  <c r="D21" i="8"/>
  <c r="D22" i="8"/>
  <c r="D23" i="8"/>
  <c r="D24" i="8"/>
  <c r="D25" i="8"/>
  <c r="D26" i="8"/>
  <c r="D27" i="8"/>
  <c r="D28" i="8"/>
  <c r="D29" i="8"/>
  <c r="D30" i="8"/>
  <c r="D31" i="8"/>
  <c r="D32" i="8"/>
  <c r="D33" i="8"/>
  <c r="D34" i="8"/>
  <c r="D35" i="8"/>
  <c r="D36" i="8"/>
  <c r="D37" i="8"/>
  <c r="D38" i="8"/>
  <c r="D39" i="8"/>
  <c r="D40" i="8"/>
  <c r="D41" i="8"/>
  <c r="D42" i="8"/>
  <c r="D43" i="8"/>
  <c r="D44" i="8"/>
  <c r="D45" i="8"/>
  <c r="D46" i="8"/>
  <c r="D47" i="8"/>
  <c r="D48" i="8"/>
  <c r="D49" i="8"/>
  <c r="D50" i="8"/>
  <c r="D51" i="8"/>
  <c r="D52" i="8"/>
  <c r="D53" i="8"/>
  <c r="D54" i="8"/>
  <c r="D55" i="8"/>
  <c r="D56" i="8"/>
  <c r="D57" i="8"/>
  <c r="D58" i="8"/>
  <c r="D59" i="8"/>
  <c r="D60" i="8"/>
  <c r="D61" i="8"/>
  <c r="D62" i="8"/>
  <c r="D63" i="8"/>
  <c r="D64" i="8"/>
  <c r="D65" i="8"/>
  <c r="D66" i="8"/>
  <c r="D67" i="8"/>
  <c r="D68" i="8"/>
  <c r="D69" i="8"/>
  <c r="D70" i="8"/>
  <c r="D71" i="8"/>
  <c r="D72" i="8"/>
  <c r="D73" i="8"/>
  <c r="D74" i="8"/>
  <c r="D75" i="8"/>
  <c r="D76" i="8"/>
  <c r="D77" i="8"/>
  <c r="D78" i="8"/>
  <c r="D79" i="8"/>
  <c r="D80" i="8"/>
  <c r="D81" i="8"/>
  <c r="D82" i="8"/>
  <c r="D83" i="8"/>
  <c r="D84" i="8"/>
  <c r="D85" i="8"/>
  <c r="D86" i="8"/>
  <c r="D87" i="8"/>
  <c r="D88" i="8"/>
  <c r="D89" i="8"/>
  <c r="D90" i="8"/>
  <c r="D91" i="8"/>
  <c r="D92" i="8"/>
  <c r="D93" i="8"/>
  <c r="D94" i="8"/>
  <c r="D95" i="8"/>
  <c r="D96" i="8"/>
  <c r="D97" i="8"/>
  <c r="D98" i="8"/>
  <c r="D99" i="8"/>
  <c r="D100" i="8"/>
  <c r="D101" i="8"/>
  <c r="D102" i="8"/>
  <c r="D103" i="8"/>
  <c r="D104" i="8"/>
  <c r="D105" i="8"/>
  <c r="D106" i="8"/>
  <c r="D107" i="8"/>
  <c r="D108" i="8"/>
  <c r="D109" i="8"/>
  <c r="D110" i="8"/>
  <c r="D111" i="8"/>
  <c r="D112" i="8"/>
  <c r="D113" i="8"/>
  <c r="D114" i="8"/>
  <c r="D115" i="8"/>
  <c r="D116" i="8"/>
  <c r="D117" i="8"/>
  <c r="D118" i="8"/>
  <c r="D119" i="8"/>
  <c r="D120" i="8"/>
  <c r="D121" i="8"/>
  <c r="D122" i="8"/>
  <c r="D123" i="8"/>
  <c r="D124" i="8"/>
  <c r="D125" i="8"/>
  <c r="D126" i="8"/>
  <c r="D127" i="8"/>
  <c r="D128" i="8"/>
  <c r="D129" i="8"/>
  <c r="D130" i="8"/>
  <c r="D131" i="8"/>
  <c r="D132" i="8"/>
  <c r="D133" i="8"/>
  <c r="D134" i="8"/>
  <c r="D135" i="8"/>
  <c r="D136" i="8"/>
  <c r="D137" i="8"/>
  <c r="D138" i="8"/>
  <c r="D139" i="8"/>
  <c r="D140" i="8"/>
  <c r="D141" i="8"/>
  <c r="D142" i="8"/>
  <c r="D143" i="8"/>
  <c r="D144" i="8"/>
  <c r="D145" i="8"/>
  <c r="D146" i="8"/>
  <c r="D147" i="8"/>
  <c r="D148" i="8"/>
  <c r="D149" i="8"/>
  <c r="D150" i="8"/>
  <c r="D151" i="8"/>
  <c r="D152" i="8"/>
  <c r="D153" i="8"/>
  <c r="D154" i="8"/>
  <c r="D155" i="8"/>
  <c r="D156" i="8"/>
  <c r="D157" i="8"/>
  <c r="D158" i="8"/>
  <c r="D159" i="8"/>
  <c r="D160" i="8"/>
  <c r="D161" i="8"/>
  <c r="D162" i="8"/>
  <c r="D163" i="8"/>
  <c r="D164" i="8"/>
  <c r="D165" i="8"/>
  <c r="D166" i="8"/>
  <c r="D167" i="8"/>
  <c r="D168" i="8"/>
  <c r="D169" i="8"/>
  <c r="D170" i="8"/>
  <c r="D171" i="8"/>
  <c r="D172" i="8"/>
  <c r="D173" i="8"/>
  <c r="D174" i="8"/>
  <c r="D175" i="8"/>
  <c r="D176" i="8"/>
  <c r="D177" i="8"/>
  <c r="D178" i="8"/>
  <c r="D179" i="8"/>
  <c r="D180" i="8"/>
  <c r="D181" i="8"/>
  <c r="D182" i="8"/>
  <c r="D183" i="8"/>
  <c r="D184" i="8"/>
  <c r="D185" i="8"/>
  <c r="D186" i="8"/>
  <c r="D187" i="8"/>
  <c r="D188" i="8"/>
  <c r="D189" i="8"/>
  <c r="D190" i="8"/>
  <c r="D191" i="8"/>
  <c r="D192" i="8"/>
  <c r="D193" i="8"/>
  <c r="D194" i="8"/>
  <c r="D195" i="8"/>
  <c r="D196" i="8"/>
  <c r="D197" i="8"/>
  <c r="D198" i="8"/>
  <c r="D199" i="8"/>
  <c r="D200" i="8"/>
  <c r="D201" i="8"/>
  <c r="D202" i="8"/>
  <c r="D203" i="8"/>
  <c r="D204" i="8"/>
  <c r="D205" i="8"/>
  <c r="D206" i="8"/>
  <c r="D207" i="8"/>
  <c r="D208" i="8"/>
  <c r="D209" i="8"/>
  <c r="D210" i="8"/>
  <c r="D211" i="8"/>
  <c r="D212" i="8"/>
  <c r="D213" i="8"/>
  <c r="D214" i="8"/>
  <c r="D215" i="8"/>
  <c r="D216" i="8"/>
  <c r="D217" i="8"/>
  <c r="D218" i="8"/>
  <c r="D219" i="8"/>
  <c r="D220" i="8"/>
  <c r="D221" i="8"/>
  <c r="D222" i="8"/>
  <c r="D223" i="8"/>
  <c r="D224" i="8"/>
  <c r="D225" i="8"/>
  <c r="D226" i="8"/>
  <c r="D227" i="8"/>
  <c r="D228" i="8"/>
  <c r="D229" i="8"/>
  <c r="D230" i="8"/>
  <c r="D231" i="8"/>
  <c r="D232" i="8"/>
  <c r="D233" i="8"/>
  <c r="D234" i="8"/>
  <c r="D235" i="8"/>
  <c r="D236" i="8"/>
  <c r="D237" i="8"/>
  <c r="D238" i="8"/>
  <c r="D239" i="8"/>
  <c r="D240" i="8"/>
  <c r="D241" i="8"/>
  <c r="D242" i="8"/>
  <c r="D243" i="8"/>
  <c r="D244" i="8"/>
  <c r="D245" i="8"/>
  <c r="D246" i="8"/>
  <c r="D247" i="8"/>
  <c r="D248" i="8"/>
  <c r="D249" i="8"/>
  <c r="D250" i="8"/>
  <c r="D251" i="8"/>
  <c r="D252" i="8"/>
  <c r="D253" i="8"/>
  <c r="D254" i="8"/>
  <c r="D255" i="8"/>
  <c r="D256" i="8"/>
  <c r="D257" i="8"/>
  <c r="D258" i="8"/>
  <c r="D259" i="8"/>
  <c r="D260" i="8"/>
  <c r="D261" i="8"/>
  <c r="D262" i="8"/>
  <c r="D13" i="8"/>
  <c r="C9" i="2" a="1"/>
  <c r="L9" i="2" a="1"/>
  <c r="J9" i="2" a="1"/>
  <c r="L9" i="2" l="1"/>
  <c r="J9" i="2"/>
  <c r="C9" i="2"/>
  <c r="L267" i="2"/>
  <c r="L268" i="2"/>
  <c r="L269" i="2"/>
  <c r="L270" i="2"/>
  <c r="L271" i="2"/>
  <c r="L272" i="2"/>
  <c r="L273" i="2"/>
  <c r="L274" i="2"/>
  <c r="L275" i="2"/>
  <c r="L467" i="2"/>
  <c r="L468" i="2"/>
  <c r="L469" i="2"/>
  <c r="L470" i="2"/>
  <c r="L471" i="2"/>
  <c r="L472" i="2"/>
  <c r="L473" i="2"/>
  <c r="L474" i="2"/>
  <c r="L475" i="2"/>
  <c r="L476" i="2"/>
  <c r="L477" i="2"/>
  <c r="L478" i="2"/>
  <c r="L479" i="2"/>
  <c r="L480" i="2"/>
  <c r="L481" i="2"/>
  <c r="L482" i="2"/>
  <c r="L483" i="2"/>
  <c r="L484" i="2"/>
  <c r="L485" i="2"/>
  <c r="L486" i="2"/>
  <c r="L487" i="2"/>
  <c r="L488" i="2"/>
  <c r="L489" i="2"/>
  <c r="L490" i="2"/>
  <c r="L491" i="2"/>
  <c r="L492" i="2"/>
  <c r="L493" i="2"/>
  <c r="L494" i="2"/>
  <c r="L495" i="2"/>
  <c r="L496" i="2"/>
  <c r="L497" i="2"/>
  <c r="L498" i="2"/>
  <c r="L499" i="2"/>
  <c r="L500" i="2"/>
  <c r="L501" i="2"/>
  <c r="L502" i="2"/>
  <c r="L503" i="2"/>
  <c r="L504" i="2"/>
  <c r="L505" i="2"/>
  <c r="L506" i="2"/>
  <c r="L507" i="2"/>
  <c r="L508" i="2"/>
  <c r="L509" i="2"/>
  <c r="L510" i="2"/>
  <c r="L511" i="2"/>
  <c r="L512" i="2"/>
  <c r="L513" i="2"/>
  <c r="L514" i="2"/>
  <c r="L515" i="2"/>
  <c r="L516" i="2"/>
  <c r="L13" i="2"/>
  <c r="L14" i="2"/>
  <c r="L15" i="2"/>
  <c r="L16" i="2"/>
  <c r="L17" i="2"/>
  <c r="L18" i="2"/>
  <c r="L19" i="2"/>
  <c r="L20" i="2"/>
  <c r="L21" i="2"/>
  <c r="L213" i="2"/>
  <c r="L214" i="2"/>
  <c r="L215" i="2"/>
  <c r="L216" i="2"/>
  <c r="L217" i="2"/>
  <c r="L218" i="2"/>
  <c r="L219" i="2"/>
  <c r="L220" i="2"/>
  <c r="L221" i="2"/>
  <c r="L222" i="2"/>
  <c r="L223" i="2"/>
  <c r="L224" i="2"/>
  <c r="L225" i="2"/>
  <c r="L226" i="2"/>
  <c r="L227" i="2"/>
  <c r="L228" i="2"/>
  <c r="L229" i="2"/>
  <c r="L230" i="2"/>
  <c r="L231" i="2"/>
  <c r="L232" i="2"/>
  <c r="L233" i="2"/>
  <c r="L234" i="2"/>
  <c r="L235" i="2"/>
  <c r="L236" i="2"/>
  <c r="L237" i="2"/>
  <c r="L238" i="2"/>
  <c r="L239" i="2"/>
  <c r="L240" i="2"/>
  <c r="L241" i="2"/>
  <c r="L242" i="2"/>
  <c r="L243" i="2"/>
  <c r="L244" i="2"/>
  <c r="L245" i="2"/>
  <c r="L246" i="2"/>
  <c r="L247" i="2"/>
  <c r="L248" i="2"/>
  <c r="L249" i="2"/>
  <c r="L250" i="2"/>
  <c r="L251" i="2"/>
  <c r="L252" i="2"/>
  <c r="L253" i="2"/>
  <c r="L254" i="2"/>
  <c r="L255" i="2"/>
  <c r="L256" i="2"/>
  <c r="L257" i="2"/>
  <c r="L258" i="2"/>
  <c r="L259" i="2"/>
  <c r="L260" i="2"/>
  <c r="L261" i="2"/>
  <c r="L262" i="2"/>
  <c r="P3" i="2"/>
  <c r="T3" i="2"/>
  <c r="M13" i="8"/>
  <c r="F251" i="2"/>
  <c r="K251" i="2"/>
  <c r="F252" i="2"/>
  <c r="K252" i="2"/>
  <c r="F253" i="2"/>
  <c r="K253" i="2"/>
  <c r="F254" i="2"/>
  <c r="K254" i="2"/>
  <c r="F255" i="2"/>
  <c r="K255" i="2"/>
  <c r="F256" i="2"/>
  <c r="K256" i="2"/>
  <c r="F257" i="2"/>
  <c r="K257" i="2"/>
  <c r="F258" i="2"/>
  <c r="K258" i="2"/>
  <c r="F259" i="2"/>
  <c r="K259" i="2"/>
  <c r="F260" i="2"/>
  <c r="K260" i="2"/>
  <c r="F261" i="2"/>
  <c r="K261" i="2"/>
  <c r="F262" i="2"/>
  <c r="K262" i="2"/>
  <c r="R3" i="2"/>
  <c r="Y9" i="2" s="1"/>
  <c r="M9" i="2"/>
  <c r="K9" i="2"/>
  <c r="I9" i="2"/>
  <c r="H9" i="2"/>
  <c r="G9" i="2"/>
  <c r="F9" i="2"/>
  <c r="D9" i="2"/>
  <c r="B9" i="2"/>
  <c r="X9" i="2" l="1"/>
  <c r="W9" i="2"/>
  <c r="V9" i="2"/>
  <c r="U9" i="2"/>
  <c r="T9" i="2"/>
  <c r="R9" i="2" l="1"/>
  <c r="C268" i="2"/>
  <c r="D268" i="2" s="1"/>
  <c r="E268" i="2" s="1"/>
  <c r="C269" i="2"/>
  <c r="D269" i="2" s="1"/>
  <c r="E269" i="2" s="1"/>
  <c r="C270" i="2"/>
  <c r="D270" i="2" s="1"/>
  <c r="E270" i="2" s="1"/>
  <c r="C271" i="2"/>
  <c r="D271" i="2" s="1"/>
  <c r="E271" i="2" s="1"/>
  <c r="C272" i="2"/>
  <c r="D272" i="2" s="1"/>
  <c r="E272" i="2" s="1"/>
  <c r="C273" i="2"/>
  <c r="D273" i="2" s="1"/>
  <c r="E273" i="2" s="1"/>
  <c r="C274" i="2"/>
  <c r="D274" i="2" s="1"/>
  <c r="E274" i="2" s="1"/>
  <c r="C275" i="2"/>
  <c r="D275" i="2" s="1"/>
  <c r="E275" i="2" s="1"/>
  <c r="C276" i="2"/>
  <c r="D276" i="2" s="1"/>
  <c r="E276" i="2" s="1"/>
  <c r="C277" i="2"/>
  <c r="D277" i="2" s="1"/>
  <c r="E277" i="2" s="1"/>
  <c r="C278" i="2"/>
  <c r="D278" i="2" s="1"/>
  <c r="E278" i="2" s="1"/>
  <c r="C280" i="2"/>
  <c r="D280" i="2" s="1"/>
  <c r="E280" i="2" s="1"/>
  <c r="C281" i="2"/>
  <c r="D281" i="2" s="1"/>
  <c r="E281" i="2" s="1"/>
  <c r="C282" i="2"/>
  <c r="D282" i="2" s="1"/>
  <c r="E282" i="2" s="1"/>
  <c r="C283" i="2"/>
  <c r="D283" i="2" s="1"/>
  <c r="E283" i="2" s="1"/>
  <c r="C285" i="2"/>
  <c r="D285" i="2" s="1"/>
  <c r="E285" i="2" s="1"/>
  <c r="C286" i="2"/>
  <c r="D286" i="2" s="1"/>
  <c r="E286" i="2" s="1"/>
  <c r="C287" i="2"/>
  <c r="D287" i="2" s="1"/>
  <c r="E287" i="2" s="1"/>
  <c r="C288" i="2"/>
  <c r="D288" i="2" s="1"/>
  <c r="E288" i="2" s="1"/>
  <c r="C289" i="2"/>
  <c r="D289" i="2" s="1"/>
  <c r="E289" i="2" s="1"/>
  <c r="C290" i="2"/>
  <c r="D290" i="2" s="1"/>
  <c r="E290" i="2" s="1"/>
  <c r="C291" i="2"/>
  <c r="D291" i="2" s="1"/>
  <c r="E291" i="2" s="1"/>
  <c r="C292" i="2"/>
  <c r="D292" i="2" s="1"/>
  <c r="E292" i="2" s="1"/>
  <c r="C293" i="2"/>
  <c r="D293" i="2" s="1"/>
  <c r="E293" i="2" s="1"/>
  <c r="C294" i="2"/>
  <c r="D294" i="2" s="1"/>
  <c r="E294" i="2" s="1"/>
  <c r="C295" i="2"/>
  <c r="D295" i="2" s="1"/>
  <c r="E295" i="2" s="1"/>
  <c r="C296" i="2"/>
  <c r="D296" i="2" s="1"/>
  <c r="E296" i="2" s="1"/>
  <c r="C297" i="2"/>
  <c r="D297" i="2" s="1"/>
  <c r="E297" i="2" s="1"/>
  <c r="C298" i="2"/>
  <c r="D298" i="2" s="1"/>
  <c r="E298" i="2" s="1"/>
  <c r="C299" i="2"/>
  <c r="D299" i="2" s="1"/>
  <c r="E299" i="2" s="1"/>
  <c r="C300" i="2"/>
  <c r="D300" i="2" s="1"/>
  <c r="E300" i="2" s="1"/>
  <c r="C301" i="2"/>
  <c r="D301" i="2" s="1"/>
  <c r="E301" i="2" s="1"/>
  <c r="C302" i="2"/>
  <c r="D302" i="2" s="1"/>
  <c r="E302" i="2" s="1"/>
  <c r="C303" i="2"/>
  <c r="D303" i="2" s="1"/>
  <c r="E303" i="2" s="1"/>
  <c r="C304" i="2"/>
  <c r="D304" i="2" s="1"/>
  <c r="E304" i="2" s="1"/>
  <c r="C305" i="2"/>
  <c r="D305" i="2" s="1"/>
  <c r="E305" i="2" s="1"/>
  <c r="C306" i="2"/>
  <c r="D306" i="2" s="1"/>
  <c r="E306" i="2" s="1"/>
  <c r="C307" i="2"/>
  <c r="D307" i="2" s="1"/>
  <c r="E307" i="2" s="1"/>
  <c r="C308" i="2"/>
  <c r="D308" i="2" s="1"/>
  <c r="E308" i="2" s="1"/>
  <c r="C309" i="2"/>
  <c r="D309" i="2" s="1"/>
  <c r="E309" i="2" s="1"/>
  <c r="C310" i="2"/>
  <c r="D310" i="2" s="1"/>
  <c r="E310" i="2" s="1"/>
  <c r="C311" i="2"/>
  <c r="D311" i="2" s="1"/>
  <c r="E311" i="2" s="1"/>
  <c r="C312" i="2"/>
  <c r="D312" i="2" s="1"/>
  <c r="E312" i="2" s="1"/>
  <c r="C313" i="2"/>
  <c r="D313" i="2" s="1"/>
  <c r="E313" i="2" s="1"/>
  <c r="C314" i="2"/>
  <c r="D314" i="2" s="1"/>
  <c r="E314" i="2" s="1"/>
  <c r="C315" i="2"/>
  <c r="D315" i="2" s="1"/>
  <c r="E315" i="2" s="1"/>
  <c r="C316" i="2"/>
  <c r="D316" i="2" s="1"/>
  <c r="E316" i="2" s="1"/>
  <c r="C317" i="2"/>
  <c r="D317" i="2" s="1"/>
  <c r="E317" i="2" s="1"/>
  <c r="C318" i="2"/>
  <c r="D318" i="2" s="1"/>
  <c r="E318" i="2" s="1"/>
  <c r="C319" i="2"/>
  <c r="D319" i="2" s="1"/>
  <c r="E319" i="2" s="1"/>
  <c r="C320" i="2"/>
  <c r="D320" i="2" s="1"/>
  <c r="E320" i="2" s="1"/>
  <c r="C321" i="2"/>
  <c r="D321" i="2" s="1"/>
  <c r="E321" i="2" s="1"/>
  <c r="C322" i="2"/>
  <c r="D322" i="2" s="1"/>
  <c r="E322" i="2" s="1"/>
  <c r="C323" i="2"/>
  <c r="D323" i="2" s="1"/>
  <c r="E323" i="2" s="1"/>
  <c r="C324" i="2"/>
  <c r="D324" i="2" s="1"/>
  <c r="E324" i="2" s="1"/>
  <c r="C325" i="2"/>
  <c r="D325" i="2" s="1"/>
  <c r="E325" i="2" s="1"/>
  <c r="C326" i="2"/>
  <c r="D326" i="2" s="1"/>
  <c r="E326" i="2" s="1"/>
  <c r="C327" i="2"/>
  <c r="D327" i="2" s="1"/>
  <c r="E327" i="2" s="1"/>
  <c r="C328" i="2"/>
  <c r="D328" i="2" s="1"/>
  <c r="E328" i="2" s="1"/>
  <c r="C329" i="2"/>
  <c r="D329" i="2" s="1"/>
  <c r="E329" i="2" s="1"/>
  <c r="C330" i="2"/>
  <c r="D330" i="2" s="1"/>
  <c r="E330" i="2" s="1"/>
  <c r="C331" i="2"/>
  <c r="D331" i="2" s="1"/>
  <c r="E331" i="2" s="1"/>
  <c r="C332" i="2"/>
  <c r="D332" i="2" s="1"/>
  <c r="E332" i="2" s="1"/>
  <c r="C333" i="2"/>
  <c r="D333" i="2" s="1"/>
  <c r="E333" i="2" s="1"/>
  <c r="C334" i="2"/>
  <c r="D334" i="2" s="1"/>
  <c r="E334" i="2" s="1"/>
  <c r="C335" i="2"/>
  <c r="D335" i="2" s="1"/>
  <c r="E335" i="2" s="1"/>
  <c r="C336" i="2"/>
  <c r="D336" i="2" s="1"/>
  <c r="E336" i="2" s="1"/>
  <c r="C337" i="2"/>
  <c r="D337" i="2" s="1"/>
  <c r="E337" i="2" s="1"/>
  <c r="C338" i="2"/>
  <c r="D338" i="2" s="1"/>
  <c r="E338" i="2" s="1"/>
  <c r="C339" i="2"/>
  <c r="D339" i="2" s="1"/>
  <c r="E339" i="2" s="1"/>
  <c r="C340" i="2"/>
  <c r="D340" i="2" s="1"/>
  <c r="E340" i="2" s="1"/>
  <c r="C341" i="2"/>
  <c r="D341" i="2" s="1"/>
  <c r="E341" i="2" s="1"/>
  <c r="C342" i="2"/>
  <c r="D342" i="2" s="1"/>
  <c r="E342" i="2" s="1"/>
  <c r="C343" i="2"/>
  <c r="D343" i="2" s="1"/>
  <c r="E343" i="2" s="1"/>
  <c r="C344" i="2"/>
  <c r="D344" i="2" s="1"/>
  <c r="E344" i="2" s="1"/>
  <c r="C345" i="2"/>
  <c r="D345" i="2" s="1"/>
  <c r="E345" i="2" s="1"/>
  <c r="C346" i="2"/>
  <c r="D346" i="2" s="1"/>
  <c r="E346" i="2" s="1"/>
  <c r="C347" i="2"/>
  <c r="D347" i="2" s="1"/>
  <c r="E347" i="2" s="1"/>
  <c r="C348" i="2"/>
  <c r="D348" i="2" s="1"/>
  <c r="E348" i="2" s="1"/>
  <c r="C349" i="2"/>
  <c r="D349" i="2" s="1"/>
  <c r="E349" i="2" s="1"/>
  <c r="C350" i="2"/>
  <c r="D350" i="2" s="1"/>
  <c r="E350" i="2" s="1"/>
  <c r="C351" i="2"/>
  <c r="D351" i="2" s="1"/>
  <c r="E351" i="2" s="1"/>
  <c r="C352" i="2"/>
  <c r="D352" i="2" s="1"/>
  <c r="E352" i="2" s="1"/>
  <c r="C353" i="2"/>
  <c r="D353" i="2" s="1"/>
  <c r="E353" i="2" s="1"/>
  <c r="C354" i="2"/>
  <c r="D354" i="2" s="1"/>
  <c r="E354" i="2" s="1"/>
  <c r="C355" i="2"/>
  <c r="D355" i="2" s="1"/>
  <c r="E355" i="2" s="1"/>
  <c r="C356" i="2"/>
  <c r="D356" i="2" s="1"/>
  <c r="E356" i="2" s="1"/>
  <c r="C357" i="2"/>
  <c r="D357" i="2" s="1"/>
  <c r="E357" i="2" s="1"/>
  <c r="C358" i="2"/>
  <c r="D358" i="2" s="1"/>
  <c r="E358" i="2" s="1"/>
  <c r="C359" i="2"/>
  <c r="D359" i="2" s="1"/>
  <c r="E359" i="2" s="1"/>
  <c r="C360" i="2"/>
  <c r="D360" i="2" s="1"/>
  <c r="E360" i="2" s="1"/>
  <c r="C361" i="2"/>
  <c r="D361" i="2" s="1"/>
  <c r="E361" i="2" s="1"/>
  <c r="C362" i="2"/>
  <c r="D362" i="2" s="1"/>
  <c r="E362" i="2" s="1"/>
  <c r="C363" i="2"/>
  <c r="D363" i="2" s="1"/>
  <c r="E363" i="2" s="1"/>
  <c r="C364" i="2"/>
  <c r="D364" i="2" s="1"/>
  <c r="E364" i="2" s="1"/>
  <c r="C365" i="2"/>
  <c r="D365" i="2" s="1"/>
  <c r="E365" i="2" s="1"/>
  <c r="C366" i="2"/>
  <c r="D366" i="2" s="1"/>
  <c r="E366" i="2" s="1"/>
  <c r="C367" i="2"/>
  <c r="D367" i="2" s="1"/>
  <c r="E367" i="2" s="1"/>
  <c r="C368" i="2"/>
  <c r="D368" i="2" s="1"/>
  <c r="E368" i="2" s="1"/>
  <c r="C369" i="2"/>
  <c r="D369" i="2" s="1"/>
  <c r="E369" i="2" s="1"/>
  <c r="C370" i="2"/>
  <c r="D370" i="2" s="1"/>
  <c r="E370" i="2" s="1"/>
  <c r="C371" i="2"/>
  <c r="D371" i="2" s="1"/>
  <c r="E371" i="2" s="1"/>
  <c r="C372" i="2"/>
  <c r="D372" i="2" s="1"/>
  <c r="E372" i="2" s="1"/>
  <c r="C373" i="2"/>
  <c r="D373" i="2" s="1"/>
  <c r="E373" i="2" s="1"/>
  <c r="C374" i="2"/>
  <c r="D374" i="2" s="1"/>
  <c r="E374" i="2" s="1"/>
  <c r="C375" i="2"/>
  <c r="D375" i="2" s="1"/>
  <c r="E375" i="2" s="1"/>
  <c r="C376" i="2"/>
  <c r="D376" i="2" s="1"/>
  <c r="E376" i="2" s="1"/>
  <c r="C377" i="2"/>
  <c r="D377" i="2" s="1"/>
  <c r="E377" i="2" s="1"/>
  <c r="C378" i="2"/>
  <c r="D378" i="2" s="1"/>
  <c r="E378" i="2" s="1"/>
  <c r="C379" i="2"/>
  <c r="D379" i="2" s="1"/>
  <c r="E379" i="2" s="1"/>
  <c r="C380" i="2"/>
  <c r="D380" i="2" s="1"/>
  <c r="E380" i="2" s="1"/>
  <c r="C381" i="2"/>
  <c r="D381" i="2" s="1"/>
  <c r="E381" i="2" s="1"/>
  <c r="C382" i="2"/>
  <c r="D382" i="2" s="1"/>
  <c r="E382" i="2" s="1"/>
  <c r="C383" i="2"/>
  <c r="D383" i="2" s="1"/>
  <c r="E383" i="2" s="1"/>
  <c r="C384" i="2"/>
  <c r="D384" i="2" s="1"/>
  <c r="E384" i="2" s="1"/>
  <c r="C385" i="2"/>
  <c r="D385" i="2" s="1"/>
  <c r="E385" i="2" s="1"/>
  <c r="C386" i="2"/>
  <c r="D386" i="2" s="1"/>
  <c r="E386" i="2" s="1"/>
  <c r="C387" i="2"/>
  <c r="D387" i="2" s="1"/>
  <c r="E387" i="2" s="1"/>
  <c r="C388" i="2"/>
  <c r="D388" i="2" s="1"/>
  <c r="E388" i="2" s="1"/>
  <c r="C389" i="2"/>
  <c r="D389" i="2" s="1"/>
  <c r="E389" i="2" s="1"/>
  <c r="C390" i="2"/>
  <c r="D390" i="2" s="1"/>
  <c r="E390" i="2" s="1"/>
  <c r="C391" i="2"/>
  <c r="D391" i="2" s="1"/>
  <c r="E391" i="2" s="1"/>
  <c r="C392" i="2"/>
  <c r="D392" i="2" s="1"/>
  <c r="E392" i="2" s="1"/>
  <c r="C393" i="2"/>
  <c r="D393" i="2" s="1"/>
  <c r="E393" i="2" s="1"/>
  <c r="C394" i="2"/>
  <c r="D394" i="2" s="1"/>
  <c r="E394" i="2" s="1"/>
  <c r="C395" i="2"/>
  <c r="D395" i="2" s="1"/>
  <c r="E395" i="2" s="1"/>
  <c r="C396" i="2"/>
  <c r="D396" i="2" s="1"/>
  <c r="E396" i="2" s="1"/>
  <c r="C397" i="2"/>
  <c r="D397" i="2" s="1"/>
  <c r="E397" i="2" s="1"/>
  <c r="C398" i="2"/>
  <c r="D398" i="2" s="1"/>
  <c r="E398" i="2" s="1"/>
  <c r="C399" i="2"/>
  <c r="D399" i="2" s="1"/>
  <c r="E399" i="2" s="1"/>
  <c r="C400" i="2"/>
  <c r="D400" i="2" s="1"/>
  <c r="E400" i="2" s="1"/>
  <c r="C401" i="2"/>
  <c r="D401" i="2" s="1"/>
  <c r="E401" i="2" s="1"/>
  <c r="C402" i="2"/>
  <c r="D402" i="2" s="1"/>
  <c r="E402" i="2" s="1"/>
  <c r="C403" i="2"/>
  <c r="D403" i="2" s="1"/>
  <c r="E403" i="2" s="1"/>
  <c r="C404" i="2"/>
  <c r="D404" i="2" s="1"/>
  <c r="E404" i="2" s="1"/>
  <c r="C405" i="2"/>
  <c r="D405" i="2" s="1"/>
  <c r="E405" i="2" s="1"/>
  <c r="C406" i="2"/>
  <c r="D406" i="2" s="1"/>
  <c r="E406" i="2" s="1"/>
  <c r="C407" i="2"/>
  <c r="D407" i="2" s="1"/>
  <c r="E407" i="2" s="1"/>
  <c r="C408" i="2"/>
  <c r="D408" i="2" s="1"/>
  <c r="E408" i="2" s="1"/>
  <c r="C409" i="2"/>
  <c r="D409" i="2" s="1"/>
  <c r="E409" i="2" s="1"/>
  <c r="C410" i="2"/>
  <c r="D410" i="2" s="1"/>
  <c r="E410" i="2" s="1"/>
  <c r="C411" i="2"/>
  <c r="D411" i="2" s="1"/>
  <c r="E411" i="2" s="1"/>
  <c r="C412" i="2"/>
  <c r="D412" i="2" s="1"/>
  <c r="E412" i="2" s="1"/>
  <c r="C413" i="2"/>
  <c r="D413" i="2" s="1"/>
  <c r="E413" i="2" s="1"/>
  <c r="C414" i="2"/>
  <c r="D414" i="2" s="1"/>
  <c r="E414" i="2" s="1"/>
  <c r="C415" i="2"/>
  <c r="D415" i="2" s="1"/>
  <c r="E415" i="2" s="1"/>
  <c r="C416" i="2"/>
  <c r="D416" i="2" s="1"/>
  <c r="E416" i="2" s="1"/>
  <c r="C417" i="2"/>
  <c r="D417" i="2" s="1"/>
  <c r="E417" i="2" s="1"/>
  <c r="C418" i="2"/>
  <c r="D418" i="2" s="1"/>
  <c r="E418" i="2" s="1"/>
  <c r="C419" i="2"/>
  <c r="D419" i="2" s="1"/>
  <c r="E419" i="2" s="1"/>
  <c r="C420" i="2"/>
  <c r="D420" i="2" s="1"/>
  <c r="E420" i="2" s="1"/>
  <c r="C421" i="2"/>
  <c r="D421" i="2" s="1"/>
  <c r="E421" i="2" s="1"/>
  <c r="C422" i="2"/>
  <c r="D422" i="2" s="1"/>
  <c r="E422" i="2" s="1"/>
  <c r="C423" i="2"/>
  <c r="D423" i="2" s="1"/>
  <c r="E423" i="2" s="1"/>
  <c r="C424" i="2"/>
  <c r="D424" i="2" s="1"/>
  <c r="E424" i="2" s="1"/>
  <c r="C425" i="2"/>
  <c r="D425" i="2" s="1"/>
  <c r="E425" i="2" s="1"/>
  <c r="C426" i="2"/>
  <c r="D426" i="2" s="1"/>
  <c r="E426" i="2" s="1"/>
  <c r="C427" i="2"/>
  <c r="D427" i="2" s="1"/>
  <c r="E427" i="2" s="1"/>
  <c r="C428" i="2"/>
  <c r="D428" i="2" s="1"/>
  <c r="E428" i="2" s="1"/>
  <c r="C429" i="2"/>
  <c r="D429" i="2" s="1"/>
  <c r="E429" i="2" s="1"/>
  <c r="C430" i="2"/>
  <c r="D430" i="2" s="1"/>
  <c r="E430" i="2" s="1"/>
  <c r="C431" i="2"/>
  <c r="D431" i="2" s="1"/>
  <c r="E431" i="2" s="1"/>
  <c r="C432" i="2"/>
  <c r="D432" i="2" s="1"/>
  <c r="E432" i="2" s="1"/>
  <c r="C433" i="2"/>
  <c r="D433" i="2" s="1"/>
  <c r="E433" i="2" s="1"/>
  <c r="C434" i="2"/>
  <c r="D434" i="2" s="1"/>
  <c r="E434" i="2" s="1"/>
  <c r="C435" i="2"/>
  <c r="D435" i="2" s="1"/>
  <c r="E435" i="2" s="1"/>
  <c r="C436" i="2"/>
  <c r="D436" i="2" s="1"/>
  <c r="E436" i="2" s="1"/>
  <c r="C437" i="2"/>
  <c r="D437" i="2" s="1"/>
  <c r="E437" i="2" s="1"/>
  <c r="C438" i="2"/>
  <c r="D438" i="2" s="1"/>
  <c r="E438" i="2" s="1"/>
  <c r="C439" i="2"/>
  <c r="D439" i="2" s="1"/>
  <c r="E439" i="2" s="1"/>
  <c r="C440" i="2"/>
  <c r="D440" i="2" s="1"/>
  <c r="E440" i="2" s="1"/>
  <c r="C441" i="2"/>
  <c r="D441" i="2" s="1"/>
  <c r="E441" i="2" s="1"/>
  <c r="C442" i="2"/>
  <c r="D442" i="2" s="1"/>
  <c r="E442" i="2" s="1"/>
  <c r="C443" i="2"/>
  <c r="D443" i="2" s="1"/>
  <c r="E443" i="2" s="1"/>
  <c r="C444" i="2"/>
  <c r="D444" i="2" s="1"/>
  <c r="E444" i="2" s="1"/>
  <c r="C445" i="2"/>
  <c r="D445" i="2" s="1"/>
  <c r="E445" i="2" s="1"/>
  <c r="C446" i="2"/>
  <c r="D446" i="2" s="1"/>
  <c r="E446" i="2" s="1"/>
  <c r="C447" i="2"/>
  <c r="D447" i="2" s="1"/>
  <c r="E447" i="2" s="1"/>
  <c r="C448" i="2"/>
  <c r="D448" i="2" s="1"/>
  <c r="E448" i="2" s="1"/>
  <c r="C449" i="2"/>
  <c r="D449" i="2" s="1"/>
  <c r="E449" i="2" s="1"/>
  <c r="C450" i="2"/>
  <c r="D450" i="2" s="1"/>
  <c r="E450" i="2" s="1"/>
  <c r="C451" i="2"/>
  <c r="D451" i="2" s="1"/>
  <c r="E451" i="2" s="1"/>
  <c r="C452" i="2"/>
  <c r="D452" i="2" s="1"/>
  <c r="E452" i="2" s="1"/>
  <c r="C453" i="2"/>
  <c r="D453" i="2" s="1"/>
  <c r="E453" i="2" s="1"/>
  <c r="C454" i="2"/>
  <c r="D454" i="2" s="1"/>
  <c r="E454" i="2" s="1"/>
  <c r="C455" i="2"/>
  <c r="D455" i="2" s="1"/>
  <c r="E455" i="2" s="1"/>
  <c r="C456" i="2"/>
  <c r="D456" i="2" s="1"/>
  <c r="E456" i="2" s="1"/>
  <c r="C457" i="2"/>
  <c r="D457" i="2" s="1"/>
  <c r="E457" i="2" s="1"/>
  <c r="C458" i="2"/>
  <c r="D458" i="2" s="1"/>
  <c r="E458" i="2" s="1"/>
  <c r="C459" i="2"/>
  <c r="D459" i="2" s="1"/>
  <c r="E459" i="2" s="1"/>
  <c r="C460" i="2"/>
  <c r="D460" i="2" s="1"/>
  <c r="E460" i="2" s="1"/>
  <c r="C461" i="2"/>
  <c r="D461" i="2" s="1"/>
  <c r="E461" i="2" s="1"/>
  <c r="C462" i="2"/>
  <c r="D462" i="2" s="1"/>
  <c r="E462" i="2" s="1"/>
  <c r="C463" i="2"/>
  <c r="D463" i="2" s="1"/>
  <c r="E463" i="2" s="1"/>
  <c r="C464" i="2"/>
  <c r="D464" i="2" s="1"/>
  <c r="E464" i="2" s="1"/>
  <c r="C465" i="2"/>
  <c r="D465" i="2" s="1"/>
  <c r="E465" i="2" s="1"/>
  <c r="C466" i="2"/>
  <c r="D466" i="2" s="1"/>
  <c r="E466" i="2" s="1"/>
  <c r="C467" i="2"/>
  <c r="D467" i="2" s="1"/>
  <c r="E467" i="2" s="1"/>
  <c r="C468" i="2"/>
  <c r="D468" i="2" s="1"/>
  <c r="E468" i="2" s="1"/>
  <c r="C469" i="2"/>
  <c r="D469" i="2" s="1"/>
  <c r="E469" i="2" s="1"/>
  <c r="C470" i="2"/>
  <c r="D470" i="2" s="1"/>
  <c r="E470" i="2" s="1"/>
  <c r="C471" i="2"/>
  <c r="D471" i="2" s="1"/>
  <c r="E471" i="2" s="1"/>
  <c r="C472" i="2"/>
  <c r="D472" i="2" s="1"/>
  <c r="E472" i="2" s="1"/>
  <c r="C473" i="2"/>
  <c r="D473" i="2" s="1"/>
  <c r="E473" i="2" s="1"/>
  <c r="C474" i="2"/>
  <c r="D474" i="2" s="1"/>
  <c r="E474" i="2" s="1"/>
  <c r="C475" i="2"/>
  <c r="D475" i="2" s="1"/>
  <c r="E475" i="2" s="1"/>
  <c r="C476" i="2"/>
  <c r="D476" i="2" s="1"/>
  <c r="E476" i="2" s="1"/>
  <c r="C477" i="2"/>
  <c r="D477" i="2" s="1"/>
  <c r="E477" i="2" s="1"/>
  <c r="C478" i="2"/>
  <c r="D478" i="2" s="1"/>
  <c r="E478" i="2" s="1"/>
  <c r="C479" i="2"/>
  <c r="D479" i="2" s="1"/>
  <c r="E479" i="2" s="1"/>
  <c r="C480" i="2"/>
  <c r="D480" i="2" s="1"/>
  <c r="E480" i="2" s="1"/>
  <c r="C481" i="2"/>
  <c r="D481" i="2" s="1"/>
  <c r="E481" i="2" s="1"/>
  <c r="C482" i="2"/>
  <c r="D482" i="2" s="1"/>
  <c r="E482" i="2" s="1"/>
  <c r="C483" i="2"/>
  <c r="D483" i="2" s="1"/>
  <c r="E483" i="2" s="1"/>
  <c r="C484" i="2"/>
  <c r="D484" i="2" s="1"/>
  <c r="E484" i="2" s="1"/>
  <c r="C485" i="2"/>
  <c r="D485" i="2" s="1"/>
  <c r="E485" i="2" s="1"/>
  <c r="C486" i="2"/>
  <c r="D486" i="2" s="1"/>
  <c r="E486" i="2" s="1"/>
  <c r="C487" i="2"/>
  <c r="D487" i="2" s="1"/>
  <c r="E487" i="2" s="1"/>
  <c r="C488" i="2"/>
  <c r="D488" i="2" s="1"/>
  <c r="E488" i="2" s="1"/>
  <c r="C489" i="2"/>
  <c r="D489" i="2" s="1"/>
  <c r="E489" i="2" s="1"/>
  <c r="C490" i="2"/>
  <c r="D490" i="2" s="1"/>
  <c r="E490" i="2" s="1"/>
  <c r="C491" i="2"/>
  <c r="D491" i="2" s="1"/>
  <c r="E491" i="2" s="1"/>
  <c r="C492" i="2"/>
  <c r="D492" i="2" s="1"/>
  <c r="E492" i="2" s="1"/>
  <c r="C493" i="2"/>
  <c r="D493" i="2" s="1"/>
  <c r="E493" i="2" s="1"/>
  <c r="C494" i="2"/>
  <c r="D494" i="2" s="1"/>
  <c r="E494" i="2" s="1"/>
  <c r="C495" i="2"/>
  <c r="D495" i="2" s="1"/>
  <c r="E495" i="2" s="1"/>
  <c r="C496" i="2"/>
  <c r="D496" i="2" s="1"/>
  <c r="E496" i="2" s="1"/>
  <c r="C497" i="2"/>
  <c r="D497" i="2" s="1"/>
  <c r="E497" i="2" s="1"/>
  <c r="C498" i="2"/>
  <c r="D498" i="2" s="1"/>
  <c r="E498" i="2" s="1"/>
  <c r="C499" i="2"/>
  <c r="D499" i="2" s="1"/>
  <c r="E499" i="2" s="1"/>
  <c r="C500" i="2"/>
  <c r="D500" i="2" s="1"/>
  <c r="E500" i="2" s="1"/>
  <c r="C501" i="2"/>
  <c r="D501" i="2" s="1"/>
  <c r="E501" i="2" s="1"/>
  <c r="C502" i="2"/>
  <c r="D502" i="2" s="1"/>
  <c r="E502" i="2" s="1"/>
  <c r="C503" i="2"/>
  <c r="D503" i="2" s="1"/>
  <c r="E503" i="2" s="1"/>
  <c r="C504" i="2"/>
  <c r="D504" i="2" s="1"/>
  <c r="E504" i="2" s="1"/>
  <c r="C510" i="2" l="1"/>
  <c r="D510" i="2" s="1"/>
  <c r="E510" i="2" s="1"/>
  <c r="C256" i="2"/>
  <c r="D256" i="2" s="1"/>
  <c r="E256" i="2" s="1"/>
  <c r="C505" i="2"/>
  <c r="D505" i="2" s="1"/>
  <c r="E505" i="2" s="1"/>
  <c r="C251" i="2"/>
  <c r="D251" i="2" s="1"/>
  <c r="E251" i="2" s="1"/>
  <c r="F25" i="8"/>
  <c r="C279" i="2"/>
  <c r="D279" i="2" s="1"/>
  <c r="E279" i="2" s="1"/>
  <c r="C513" i="2"/>
  <c r="D513" i="2" s="1"/>
  <c r="E513" i="2" s="1"/>
  <c r="C259" i="2"/>
  <c r="D259" i="2" s="1"/>
  <c r="E259" i="2" s="1"/>
  <c r="C258" i="2"/>
  <c r="D258" i="2" s="1"/>
  <c r="E258" i="2" s="1"/>
  <c r="C512" i="2"/>
  <c r="D512" i="2" s="1"/>
  <c r="E512" i="2" s="1"/>
  <c r="C252" i="2"/>
  <c r="D252" i="2" s="1"/>
  <c r="E252" i="2" s="1"/>
  <c r="C506" i="2"/>
  <c r="D506" i="2" s="1"/>
  <c r="E506" i="2" s="1"/>
  <c r="C262" i="2"/>
  <c r="D262" i="2" s="1"/>
  <c r="E262" i="2" s="1"/>
  <c r="C516" i="2"/>
  <c r="D516" i="2" s="1"/>
  <c r="E516" i="2" s="1"/>
  <c r="C515" i="2"/>
  <c r="D515" i="2" s="1"/>
  <c r="E515" i="2" s="1"/>
  <c r="C261" i="2"/>
  <c r="D261" i="2" s="1"/>
  <c r="E261" i="2" s="1"/>
  <c r="C514" i="2"/>
  <c r="D514" i="2" s="1"/>
  <c r="E514" i="2" s="1"/>
  <c r="C260" i="2"/>
  <c r="D260" i="2" s="1"/>
  <c r="E260" i="2" s="1"/>
  <c r="C257" i="2"/>
  <c r="D257" i="2" s="1"/>
  <c r="E257" i="2" s="1"/>
  <c r="C511" i="2"/>
  <c r="D511" i="2" s="1"/>
  <c r="E511" i="2" s="1"/>
  <c r="C509" i="2"/>
  <c r="D509" i="2" s="1"/>
  <c r="E509" i="2" s="1"/>
  <c r="C255" i="2"/>
  <c r="D255" i="2" s="1"/>
  <c r="E255" i="2" s="1"/>
  <c r="C508" i="2"/>
  <c r="D508" i="2" s="1"/>
  <c r="E508" i="2" s="1"/>
  <c r="C254" i="2"/>
  <c r="D254" i="2" s="1"/>
  <c r="E254" i="2" s="1"/>
  <c r="F30" i="8"/>
  <c r="C284" i="2"/>
  <c r="D284" i="2" s="1"/>
  <c r="E284" i="2" s="1"/>
  <c r="C253" i="2"/>
  <c r="D253" i="2" s="1"/>
  <c r="E253" i="2" s="1"/>
  <c r="C507" i="2"/>
  <c r="D507" i="2" s="1"/>
  <c r="E507" i="2" s="1"/>
  <c r="C13" i="2"/>
  <c r="D13" i="2" s="1"/>
  <c r="E13" i="2" s="1"/>
  <c r="C267" i="2"/>
  <c r="D267" i="2" s="1"/>
  <c r="E267" i="2" s="1"/>
  <c r="F14" i="8" l="1"/>
  <c r="F15" i="8"/>
  <c r="F16" i="8"/>
  <c r="F17" i="8"/>
  <c r="F18" i="8"/>
  <c r="F19" i="8"/>
  <c r="F20" i="8"/>
  <c r="F21" i="8"/>
  <c r="F22" i="8"/>
  <c r="F23" i="8"/>
  <c r="F24" i="8"/>
  <c r="F16" i="10"/>
  <c r="F17" i="10"/>
  <c r="F18" i="10"/>
  <c r="F14" i="10"/>
  <c r="F15" i="10"/>
  <c r="F13" i="10"/>
  <c r="K13" i="2" l="1"/>
  <c r="K14" i="2"/>
  <c r="K15" i="2"/>
  <c r="K16" i="2"/>
  <c r="K17" i="2"/>
  <c r="K18" i="2"/>
  <c r="K19" i="2"/>
  <c r="K20" i="2"/>
  <c r="K21" i="2"/>
  <c r="K22" i="2"/>
  <c r="K23" i="2"/>
  <c r="K24" i="2"/>
  <c r="K25" i="2"/>
  <c r="K26" i="2"/>
  <c r="K27" i="2"/>
  <c r="K28" i="2"/>
  <c r="K29" i="2"/>
  <c r="K30" i="2"/>
  <c r="K31" i="2"/>
  <c r="K32" i="2"/>
  <c r="K33" i="2"/>
  <c r="K34" i="2"/>
  <c r="K35" i="2"/>
  <c r="K36" i="2"/>
  <c r="K37" i="2"/>
  <c r="K38" i="2"/>
  <c r="K39" i="2"/>
  <c r="K40" i="2"/>
  <c r="K41" i="2"/>
  <c r="K42" i="2"/>
  <c r="K43" i="2"/>
  <c r="K44" i="2"/>
  <c r="K45" i="2"/>
  <c r="K46" i="2"/>
  <c r="K47" i="2"/>
  <c r="K48" i="2"/>
  <c r="K49" i="2"/>
  <c r="K50" i="2"/>
  <c r="K51" i="2"/>
  <c r="K52" i="2"/>
  <c r="K53" i="2"/>
  <c r="K54" i="2"/>
  <c r="K55" i="2"/>
  <c r="K56" i="2"/>
  <c r="K57" i="2"/>
  <c r="K58" i="2"/>
  <c r="K59" i="2"/>
  <c r="K60" i="2"/>
  <c r="K61" i="2"/>
  <c r="K62" i="2"/>
  <c r="K63" i="2"/>
  <c r="K64" i="2"/>
  <c r="K65" i="2"/>
  <c r="K66" i="2"/>
  <c r="K67" i="2"/>
  <c r="K68" i="2"/>
  <c r="K69" i="2"/>
  <c r="K70" i="2"/>
  <c r="K71" i="2"/>
  <c r="K72" i="2"/>
  <c r="K73" i="2"/>
  <c r="K74" i="2"/>
  <c r="K75" i="2"/>
  <c r="K76" i="2"/>
  <c r="K77" i="2"/>
  <c r="K78" i="2"/>
  <c r="K79" i="2"/>
  <c r="K80" i="2"/>
  <c r="K81" i="2"/>
  <c r="K82" i="2"/>
  <c r="K83" i="2"/>
  <c r="K84" i="2"/>
  <c r="K85" i="2"/>
  <c r="K86" i="2"/>
  <c r="K87" i="2"/>
  <c r="K88" i="2"/>
  <c r="K89" i="2"/>
  <c r="K90" i="2"/>
  <c r="K91" i="2"/>
  <c r="K92" i="2"/>
  <c r="K93" i="2"/>
  <c r="K94" i="2"/>
  <c r="K95" i="2"/>
  <c r="K96" i="2"/>
  <c r="K97" i="2"/>
  <c r="K98" i="2"/>
  <c r="K99" i="2"/>
  <c r="K100" i="2"/>
  <c r="K101" i="2"/>
  <c r="K102" i="2"/>
  <c r="K103" i="2"/>
  <c r="K104" i="2"/>
  <c r="K105" i="2"/>
  <c r="K106" i="2"/>
  <c r="K107" i="2"/>
  <c r="K108" i="2"/>
  <c r="K109" i="2"/>
  <c r="K110" i="2"/>
  <c r="K111" i="2"/>
  <c r="K112" i="2"/>
  <c r="K113" i="2"/>
  <c r="K114" i="2"/>
  <c r="K115" i="2"/>
  <c r="K116" i="2"/>
  <c r="K117" i="2"/>
  <c r="K118" i="2"/>
  <c r="K119" i="2"/>
  <c r="K120" i="2"/>
  <c r="K121" i="2"/>
  <c r="K122" i="2"/>
  <c r="K123" i="2"/>
  <c r="K124" i="2"/>
  <c r="K125" i="2"/>
  <c r="K126" i="2"/>
  <c r="K127" i="2"/>
  <c r="K128" i="2"/>
  <c r="K129" i="2"/>
  <c r="K130" i="2"/>
  <c r="K131" i="2"/>
  <c r="K132" i="2"/>
  <c r="K133" i="2"/>
  <c r="K134" i="2"/>
  <c r="K135" i="2"/>
  <c r="K136" i="2"/>
  <c r="K137" i="2"/>
  <c r="K138" i="2"/>
  <c r="K139" i="2"/>
  <c r="K140" i="2"/>
  <c r="K141" i="2"/>
  <c r="K142" i="2"/>
  <c r="K143" i="2"/>
  <c r="K144" i="2"/>
  <c r="K145" i="2"/>
  <c r="K146" i="2"/>
  <c r="K147" i="2"/>
  <c r="K148" i="2"/>
  <c r="K149" i="2"/>
  <c r="K150" i="2"/>
  <c r="K151" i="2"/>
  <c r="K152" i="2"/>
  <c r="K153" i="2"/>
  <c r="K154" i="2"/>
  <c r="K155" i="2"/>
  <c r="K156" i="2"/>
  <c r="K157" i="2"/>
  <c r="K158" i="2"/>
  <c r="K159" i="2"/>
  <c r="K160" i="2"/>
  <c r="K161" i="2"/>
  <c r="K162" i="2"/>
  <c r="K163" i="2"/>
  <c r="K164" i="2"/>
  <c r="K165" i="2"/>
  <c r="K166" i="2"/>
  <c r="K167" i="2"/>
  <c r="K168" i="2"/>
  <c r="K169" i="2"/>
  <c r="K170" i="2"/>
  <c r="K171" i="2"/>
  <c r="K172" i="2"/>
  <c r="K173" i="2"/>
  <c r="K174" i="2"/>
  <c r="K175" i="2"/>
  <c r="K176" i="2"/>
  <c r="K177" i="2"/>
  <c r="K178" i="2"/>
  <c r="K179" i="2"/>
  <c r="K180" i="2"/>
  <c r="K181" i="2"/>
  <c r="K182" i="2"/>
  <c r="K183" i="2"/>
  <c r="K184" i="2"/>
  <c r="K185" i="2"/>
  <c r="K186" i="2"/>
  <c r="K187" i="2"/>
  <c r="K188" i="2"/>
  <c r="K189" i="2"/>
  <c r="K190" i="2"/>
  <c r="K191" i="2"/>
  <c r="K192" i="2"/>
  <c r="K193" i="2"/>
  <c r="K194" i="2"/>
  <c r="K195" i="2"/>
  <c r="K196" i="2"/>
  <c r="K197" i="2"/>
  <c r="K198" i="2"/>
  <c r="K199" i="2"/>
  <c r="K200" i="2"/>
  <c r="K201" i="2"/>
  <c r="K202" i="2"/>
  <c r="K203" i="2"/>
  <c r="K204" i="2"/>
  <c r="K205" i="2"/>
  <c r="K206" i="2"/>
  <c r="K207" i="2"/>
  <c r="K208" i="2"/>
  <c r="K209" i="2"/>
  <c r="K210" i="2"/>
  <c r="K211" i="2"/>
  <c r="K212" i="2"/>
  <c r="K213" i="2"/>
  <c r="K214" i="2"/>
  <c r="K215" i="2"/>
  <c r="K216" i="2"/>
  <c r="K217" i="2"/>
  <c r="K218" i="2"/>
  <c r="K219" i="2"/>
  <c r="K220" i="2"/>
  <c r="K221" i="2"/>
  <c r="K222" i="2"/>
  <c r="K223" i="2"/>
  <c r="K224" i="2"/>
  <c r="K225" i="2"/>
  <c r="K226" i="2"/>
  <c r="K227" i="2"/>
  <c r="K228" i="2"/>
  <c r="K229" i="2"/>
  <c r="K230" i="2"/>
  <c r="K231" i="2"/>
  <c r="K232" i="2"/>
  <c r="K233" i="2"/>
  <c r="K234" i="2"/>
  <c r="K235" i="2"/>
  <c r="K236" i="2"/>
  <c r="K237" i="2"/>
  <c r="K238" i="2"/>
  <c r="K239" i="2"/>
  <c r="K240" i="2"/>
  <c r="K241" i="2"/>
  <c r="K242" i="2"/>
  <c r="K243" i="2"/>
  <c r="K244" i="2"/>
  <c r="K245" i="2"/>
  <c r="K246" i="2"/>
  <c r="K247" i="2"/>
  <c r="K248" i="2"/>
  <c r="K249" i="2"/>
  <c r="K250" i="2"/>
  <c r="F13" i="2"/>
  <c r="F14" i="2"/>
  <c r="F15" i="2"/>
  <c r="F16" i="2"/>
  <c r="F17" i="2"/>
  <c r="F18" i="2"/>
  <c r="F19" i="2"/>
  <c r="F20" i="2"/>
  <c r="F21" i="2"/>
  <c r="F22" i="2"/>
  <c r="F23" i="2"/>
  <c r="F24" i="2"/>
  <c r="F25" i="2"/>
  <c r="F26" i="2"/>
  <c r="F27" i="2"/>
  <c r="F28" i="2"/>
  <c r="F29" i="2"/>
  <c r="F30" i="2"/>
  <c r="F31" i="2"/>
  <c r="F32" i="2"/>
  <c r="F33" i="2"/>
  <c r="F34" i="2"/>
  <c r="F35" i="2"/>
  <c r="F36" i="2"/>
  <c r="F37" i="2"/>
  <c r="F38" i="2"/>
  <c r="F39" i="2"/>
  <c r="F40" i="2"/>
  <c r="F41" i="2"/>
  <c r="F42" i="2"/>
  <c r="F43" i="2"/>
  <c r="F44" i="2"/>
  <c r="F45" i="2"/>
  <c r="F46" i="2"/>
  <c r="F47" i="2"/>
  <c r="F48" i="2"/>
  <c r="F49" i="2"/>
  <c r="F50" i="2"/>
  <c r="F51" i="2"/>
  <c r="F52" i="2"/>
  <c r="F53" i="2"/>
  <c r="F54" i="2"/>
  <c r="F55" i="2"/>
  <c r="F56" i="2"/>
  <c r="F57" i="2"/>
  <c r="F58" i="2"/>
  <c r="F59" i="2"/>
  <c r="F60" i="2"/>
  <c r="F61" i="2"/>
  <c r="F62" i="2"/>
  <c r="F63" i="2"/>
  <c r="F64" i="2"/>
  <c r="F65" i="2"/>
  <c r="F66" i="2"/>
  <c r="F67" i="2"/>
  <c r="F68" i="2"/>
  <c r="F69" i="2"/>
  <c r="F70" i="2"/>
  <c r="F71" i="2"/>
  <c r="F72" i="2"/>
  <c r="F73" i="2"/>
  <c r="F74" i="2"/>
  <c r="F75" i="2"/>
  <c r="F76" i="2"/>
  <c r="F77" i="2"/>
  <c r="F78" i="2"/>
  <c r="F79" i="2"/>
  <c r="F80" i="2"/>
  <c r="F81" i="2"/>
  <c r="F82" i="2"/>
  <c r="F83" i="2"/>
  <c r="F84" i="2"/>
  <c r="F85" i="2"/>
  <c r="F86" i="2"/>
  <c r="F87" i="2"/>
  <c r="F88" i="2"/>
  <c r="F89" i="2"/>
  <c r="F90" i="2"/>
  <c r="F91" i="2"/>
  <c r="F92" i="2"/>
  <c r="F93" i="2"/>
  <c r="F94" i="2"/>
  <c r="F95" i="2"/>
  <c r="F96" i="2"/>
  <c r="F97" i="2"/>
  <c r="F98" i="2"/>
  <c r="F99" i="2"/>
  <c r="F100" i="2"/>
  <c r="F101" i="2"/>
  <c r="F102" i="2"/>
  <c r="F103" i="2"/>
  <c r="F104" i="2"/>
  <c r="F105" i="2"/>
  <c r="F106" i="2"/>
  <c r="F107" i="2"/>
  <c r="F108" i="2"/>
  <c r="F109" i="2"/>
  <c r="F110" i="2"/>
  <c r="F111" i="2"/>
  <c r="F112" i="2"/>
  <c r="F113" i="2"/>
  <c r="F114" i="2"/>
  <c r="F115" i="2"/>
  <c r="F116" i="2"/>
  <c r="F117" i="2"/>
  <c r="F118" i="2"/>
  <c r="F119" i="2"/>
  <c r="F120" i="2"/>
  <c r="F121" i="2"/>
  <c r="F122" i="2"/>
  <c r="F123" i="2"/>
  <c r="F124" i="2"/>
  <c r="F125" i="2"/>
  <c r="F126" i="2"/>
  <c r="F127" i="2"/>
  <c r="F128" i="2"/>
  <c r="F129" i="2"/>
  <c r="F130" i="2"/>
  <c r="F131" i="2"/>
  <c r="F132" i="2"/>
  <c r="F133" i="2"/>
  <c r="F134" i="2"/>
  <c r="F135" i="2"/>
  <c r="F136" i="2"/>
  <c r="F137" i="2"/>
  <c r="F138" i="2"/>
  <c r="F139" i="2"/>
  <c r="F140" i="2"/>
  <c r="F141" i="2"/>
  <c r="F142" i="2"/>
  <c r="F143" i="2"/>
  <c r="F144" i="2"/>
  <c r="F145" i="2"/>
  <c r="F146" i="2"/>
  <c r="F147" i="2"/>
  <c r="F148" i="2"/>
  <c r="F149" i="2"/>
  <c r="F150" i="2"/>
  <c r="F151" i="2"/>
  <c r="F152" i="2"/>
  <c r="F153" i="2"/>
  <c r="F154" i="2"/>
  <c r="F155" i="2"/>
  <c r="F156" i="2"/>
  <c r="F157" i="2"/>
  <c r="F158" i="2"/>
  <c r="F159" i="2"/>
  <c r="F160" i="2"/>
  <c r="F161" i="2"/>
  <c r="F162" i="2"/>
  <c r="F163" i="2"/>
  <c r="F164" i="2"/>
  <c r="F165" i="2"/>
  <c r="F166" i="2"/>
  <c r="F167" i="2"/>
  <c r="F168" i="2"/>
  <c r="F169" i="2"/>
  <c r="F170" i="2"/>
  <c r="F171" i="2"/>
  <c r="F172" i="2"/>
  <c r="F173" i="2"/>
  <c r="F174" i="2"/>
  <c r="F175" i="2"/>
  <c r="F176" i="2"/>
  <c r="F177" i="2"/>
  <c r="F178" i="2"/>
  <c r="F179" i="2"/>
  <c r="F180" i="2"/>
  <c r="F181" i="2"/>
  <c r="F182" i="2"/>
  <c r="F183" i="2"/>
  <c r="F184" i="2"/>
  <c r="F185" i="2"/>
  <c r="F186" i="2"/>
  <c r="F187" i="2"/>
  <c r="F188" i="2"/>
  <c r="F189" i="2"/>
  <c r="F190" i="2"/>
  <c r="F191" i="2"/>
  <c r="F192" i="2"/>
  <c r="F193" i="2"/>
  <c r="F194" i="2"/>
  <c r="F195" i="2"/>
  <c r="F196" i="2"/>
  <c r="F197" i="2"/>
  <c r="F198" i="2"/>
  <c r="F199" i="2"/>
  <c r="F200" i="2"/>
  <c r="F201" i="2"/>
  <c r="F202" i="2"/>
  <c r="F203" i="2"/>
  <c r="F204" i="2"/>
  <c r="F205" i="2"/>
  <c r="F206" i="2"/>
  <c r="F207" i="2"/>
  <c r="F208" i="2"/>
  <c r="F209" i="2"/>
  <c r="F210" i="2"/>
  <c r="F211" i="2"/>
  <c r="F212" i="2"/>
  <c r="F213" i="2"/>
  <c r="F214" i="2"/>
  <c r="F215" i="2"/>
  <c r="F216" i="2"/>
  <c r="F217" i="2"/>
  <c r="F218" i="2"/>
  <c r="F219" i="2"/>
  <c r="F220" i="2"/>
  <c r="F221" i="2"/>
  <c r="F222" i="2"/>
  <c r="F223" i="2"/>
  <c r="F224" i="2"/>
  <c r="F225" i="2"/>
  <c r="F226" i="2"/>
  <c r="F227" i="2"/>
  <c r="F228" i="2"/>
  <c r="F229" i="2"/>
  <c r="F230" i="2"/>
  <c r="F231" i="2"/>
  <c r="F232" i="2"/>
  <c r="F233" i="2"/>
  <c r="F234" i="2"/>
  <c r="F235" i="2"/>
  <c r="F236" i="2"/>
  <c r="F237" i="2"/>
  <c r="F238" i="2"/>
  <c r="F239" i="2"/>
  <c r="F240" i="2"/>
  <c r="F241" i="2"/>
  <c r="F242" i="2"/>
  <c r="F243" i="2"/>
  <c r="F244" i="2"/>
  <c r="F245" i="2"/>
  <c r="F246" i="2"/>
  <c r="F247" i="2"/>
  <c r="F248" i="2"/>
  <c r="F249" i="2"/>
  <c r="F250" i="2"/>
  <c r="C26" i="2"/>
  <c r="D26" i="2" s="1"/>
  <c r="C27" i="2"/>
  <c r="D27" i="2" s="1"/>
  <c r="C28" i="2"/>
  <c r="D28" i="2" s="1"/>
  <c r="C29" i="2"/>
  <c r="D29" i="2" s="1"/>
  <c r="C30" i="2"/>
  <c r="D30" i="2" s="1"/>
  <c r="C31" i="2"/>
  <c r="D31" i="2" s="1"/>
  <c r="C32" i="2"/>
  <c r="D32" i="2" s="1"/>
  <c r="C33" i="2"/>
  <c r="D33" i="2" s="1"/>
  <c r="C34" i="2"/>
  <c r="D34" i="2" s="1"/>
  <c r="C35" i="2"/>
  <c r="D35" i="2" s="1"/>
  <c r="C36" i="2"/>
  <c r="D36" i="2" s="1"/>
  <c r="C37" i="2"/>
  <c r="D37" i="2" s="1"/>
  <c r="C38" i="2"/>
  <c r="D38" i="2" s="1"/>
  <c r="C39" i="2"/>
  <c r="D39" i="2" s="1"/>
  <c r="C40" i="2"/>
  <c r="D40" i="2" s="1"/>
  <c r="C41" i="2"/>
  <c r="D41" i="2" s="1"/>
  <c r="C42" i="2"/>
  <c r="D42" i="2" s="1"/>
  <c r="C43" i="2"/>
  <c r="D43" i="2" s="1"/>
  <c r="C44" i="2"/>
  <c r="D44" i="2" s="1"/>
  <c r="C45" i="2"/>
  <c r="D45" i="2" s="1"/>
  <c r="C46" i="2"/>
  <c r="D46" i="2" s="1"/>
  <c r="C47" i="2"/>
  <c r="D47" i="2" s="1"/>
  <c r="C48" i="2"/>
  <c r="D48" i="2" s="1"/>
  <c r="C49" i="2"/>
  <c r="D49" i="2" s="1"/>
  <c r="C50" i="2"/>
  <c r="D50" i="2" s="1"/>
  <c r="C51" i="2"/>
  <c r="D51" i="2" s="1"/>
  <c r="C52" i="2"/>
  <c r="D52" i="2" s="1"/>
  <c r="C53" i="2"/>
  <c r="D53" i="2" s="1"/>
  <c r="C54" i="2"/>
  <c r="D54" i="2" s="1"/>
  <c r="C55" i="2"/>
  <c r="D55" i="2" s="1"/>
  <c r="C56" i="2"/>
  <c r="D56" i="2" s="1"/>
  <c r="C57" i="2"/>
  <c r="D57" i="2" s="1"/>
  <c r="C58" i="2"/>
  <c r="D58" i="2" s="1"/>
  <c r="C59" i="2"/>
  <c r="D59" i="2" s="1"/>
  <c r="C60" i="2"/>
  <c r="D60" i="2" s="1"/>
  <c r="C61" i="2"/>
  <c r="D61" i="2" s="1"/>
  <c r="C62" i="2"/>
  <c r="D62" i="2" s="1"/>
  <c r="C63" i="2"/>
  <c r="D63" i="2" s="1"/>
  <c r="C64" i="2"/>
  <c r="D64" i="2" s="1"/>
  <c r="C65" i="2"/>
  <c r="D65" i="2" s="1"/>
  <c r="C66" i="2"/>
  <c r="D66" i="2" s="1"/>
  <c r="C67" i="2"/>
  <c r="D67" i="2" s="1"/>
  <c r="C68" i="2"/>
  <c r="D68" i="2" s="1"/>
  <c r="C69" i="2"/>
  <c r="D69" i="2" s="1"/>
  <c r="C70" i="2"/>
  <c r="D70" i="2" s="1"/>
  <c r="C71" i="2"/>
  <c r="D71" i="2" s="1"/>
  <c r="C72" i="2"/>
  <c r="D72" i="2" s="1"/>
  <c r="C73" i="2"/>
  <c r="D73" i="2" s="1"/>
  <c r="C74" i="2"/>
  <c r="D74" i="2" s="1"/>
  <c r="C75" i="2"/>
  <c r="D75" i="2" s="1"/>
  <c r="C76" i="2"/>
  <c r="D76" i="2" s="1"/>
  <c r="C77" i="2"/>
  <c r="D77" i="2" s="1"/>
  <c r="C78" i="2"/>
  <c r="D78" i="2" s="1"/>
  <c r="C79" i="2"/>
  <c r="D79" i="2" s="1"/>
  <c r="C80" i="2"/>
  <c r="D80" i="2" s="1"/>
  <c r="C81" i="2"/>
  <c r="D81" i="2" s="1"/>
  <c r="C82" i="2"/>
  <c r="D82" i="2" s="1"/>
  <c r="C83" i="2"/>
  <c r="D83" i="2" s="1"/>
  <c r="C84" i="2"/>
  <c r="D84" i="2" s="1"/>
  <c r="C85" i="2"/>
  <c r="D85" i="2" s="1"/>
  <c r="C86" i="2"/>
  <c r="D86" i="2" s="1"/>
  <c r="C87" i="2"/>
  <c r="D87" i="2" s="1"/>
  <c r="C88" i="2"/>
  <c r="D88" i="2" s="1"/>
  <c r="C89" i="2"/>
  <c r="D89" i="2" s="1"/>
  <c r="C90" i="2"/>
  <c r="D90" i="2" s="1"/>
  <c r="C91" i="2"/>
  <c r="D91" i="2" s="1"/>
  <c r="C92" i="2"/>
  <c r="D92" i="2" s="1"/>
  <c r="C93" i="2"/>
  <c r="D93" i="2" s="1"/>
  <c r="C94" i="2"/>
  <c r="D94" i="2" s="1"/>
  <c r="C95" i="2"/>
  <c r="D95" i="2" s="1"/>
  <c r="C96" i="2"/>
  <c r="D96" i="2" s="1"/>
  <c r="C97" i="2"/>
  <c r="D97" i="2" s="1"/>
  <c r="C98" i="2"/>
  <c r="D98" i="2" s="1"/>
  <c r="C99" i="2"/>
  <c r="D99" i="2" s="1"/>
  <c r="C100" i="2"/>
  <c r="D100" i="2" s="1"/>
  <c r="C101" i="2"/>
  <c r="D101" i="2" s="1"/>
  <c r="C102" i="2"/>
  <c r="D102" i="2" s="1"/>
  <c r="C103" i="2"/>
  <c r="D103" i="2" s="1"/>
  <c r="C104" i="2"/>
  <c r="D104" i="2" s="1"/>
  <c r="C105" i="2"/>
  <c r="D105" i="2" s="1"/>
  <c r="C106" i="2"/>
  <c r="D106" i="2" s="1"/>
  <c r="C107" i="2"/>
  <c r="D107" i="2" s="1"/>
  <c r="C108" i="2"/>
  <c r="D108" i="2" s="1"/>
  <c r="C109" i="2"/>
  <c r="D109" i="2" s="1"/>
  <c r="C110" i="2"/>
  <c r="D110" i="2" s="1"/>
  <c r="C111" i="2"/>
  <c r="D111" i="2" s="1"/>
  <c r="C112" i="2"/>
  <c r="D112" i="2" s="1"/>
  <c r="C113" i="2"/>
  <c r="D113" i="2" s="1"/>
  <c r="C114" i="2"/>
  <c r="D114" i="2" s="1"/>
  <c r="C115" i="2"/>
  <c r="D115" i="2" s="1"/>
  <c r="C116" i="2"/>
  <c r="D116" i="2" s="1"/>
  <c r="C117" i="2"/>
  <c r="D117" i="2" s="1"/>
  <c r="C118" i="2"/>
  <c r="D118" i="2" s="1"/>
  <c r="C119" i="2"/>
  <c r="D119" i="2" s="1"/>
  <c r="C120" i="2"/>
  <c r="D120" i="2" s="1"/>
  <c r="C121" i="2"/>
  <c r="D121" i="2" s="1"/>
  <c r="C122" i="2"/>
  <c r="D122" i="2" s="1"/>
  <c r="C123" i="2"/>
  <c r="D123" i="2" s="1"/>
  <c r="C124" i="2"/>
  <c r="D124" i="2" s="1"/>
  <c r="C125" i="2"/>
  <c r="D125" i="2" s="1"/>
  <c r="C126" i="2"/>
  <c r="D126" i="2" s="1"/>
  <c r="C127" i="2"/>
  <c r="D127" i="2" s="1"/>
  <c r="C128" i="2"/>
  <c r="D128" i="2" s="1"/>
  <c r="C129" i="2"/>
  <c r="D129" i="2" s="1"/>
  <c r="C130" i="2"/>
  <c r="D130" i="2" s="1"/>
  <c r="C131" i="2"/>
  <c r="D131" i="2" s="1"/>
  <c r="C132" i="2"/>
  <c r="D132" i="2" s="1"/>
  <c r="C133" i="2"/>
  <c r="D133" i="2" s="1"/>
  <c r="C134" i="2"/>
  <c r="D134" i="2" s="1"/>
  <c r="C135" i="2"/>
  <c r="D135" i="2" s="1"/>
  <c r="C136" i="2"/>
  <c r="D136" i="2" s="1"/>
  <c r="C137" i="2"/>
  <c r="D137" i="2" s="1"/>
  <c r="C138" i="2"/>
  <c r="D138" i="2" s="1"/>
  <c r="C139" i="2"/>
  <c r="D139" i="2" s="1"/>
  <c r="C140" i="2"/>
  <c r="D140" i="2" s="1"/>
  <c r="C141" i="2"/>
  <c r="D141" i="2" s="1"/>
  <c r="C142" i="2"/>
  <c r="D142" i="2" s="1"/>
  <c r="C143" i="2"/>
  <c r="D143" i="2" s="1"/>
  <c r="C144" i="2"/>
  <c r="D144" i="2" s="1"/>
  <c r="C145" i="2"/>
  <c r="D145" i="2" s="1"/>
  <c r="C146" i="2"/>
  <c r="D146" i="2" s="1"/>
  <c r="C147" i="2"/>
  <c r="D147" i="2" s="1"/>
  <c r="C148" i="2"/>
  <c r="D148" i="2" s="1"/>
  <c r="C149" i="2"/>
  <c r="D149" i="2" s="1"/>
  <c r="C150" i="2"/>
  <c r="D150" i="2" s="1"/>
  <c r="C151" i="2"/>
  <c r="D151" i="2" s="1"/>
  <c r="C152" i="2"/>
  <c r="D152" i="2" s="1"/>
  <c r="C153" i="2"/>
  <c r="D153" i="2" s="1"/>
  <c r="C154" i="2"/>
  <c r="D154" i="2" s="1"/>
  <c r="C155" i="2"/>
  <c r="D155" i="2" s="1"/>
  <c r="C156" i="2"/>
  <c r="D156" i="2" s="1"/>
  <c r="C157" i="2"/>
  <c r="D157" i="2" s="1"/>
  <c r="C158" i="2"/>
  <c r="D158" i="2" s="1"/>
  <c r="C159" i="2"/>
  <c r="D159" i="2" s="1"/>
  <c r="C160" i="2"/>
  <c r="D160" i="2" s="1"/>
  <c r="C161" i="2"/>
  <c r="D161" i="2" s="1"/>
  <c r="C162" i="2"/>
  <c r="D162" i="2" s="1"/>
  <c r="C163" i="2"/>
  <c r="D163" i="2" s="1"/>
  <c r="C164" i="2"/>
  <c r="D164" i="2" s="1"/>
  <c r="C165" i="2"/>
  <c r="D165" i="2" s="1"/>
  <c r="C166" i="2"/>
  <c r="D166" i="2" s="1"/>
  <c r="C167" i="2"/>
  <c r="D167" i="2" s="1"/>
  <c r="C168" i="2"/>
  <c r="D168" i="2" s="1"/>
  <c r="C169" i="2"/>
  <c r="D169" i="2" s="1"/>
  <c r="C170" i="2"/>
  <c r="D170" i="2" s="1"/>
  <c r="C171" i="2"/>
  <c r="D171" i="2" s="1"/>
  <c r="C172" i="2"/>
  <c r="D172" i="2" s="1"/>
  <c r="C173" i="2"/>
  <c r="D173" i="2" s="1"/>
  <c r="C174" i="2"/>
  <c r="D174" i="2" s="1"/>
  <c r="C175" i="2"/>
  <c r="D175" i="2" s="1"/>
  <c r="C176" i="2"/>
  <c r="D176" i="2" s="1"/>
  <c r="C177" i="2"/>
  <c r="D177" i="2" s="1"/>
  <c r="C178" i="2"/>
  <c r="D178" i="2" s="1"/>
  <c r="C179" i="2"/>
  <c r="D179" i="2" s="1"/>
  <c r="C180" i="2"/>
  <c r="D180" i="2" s="1"/>
  <c r="C181" i="2"/>
  <c r="D181" i="2" s="1"/>
  <c r="C182" i="2"/>
  <c r="D182" i="2" s="1"/>
  <c r="C183" i="2"/>
  <c r="D183" i="2" s="1"/>
  <c r="C184" i="2"/>
  <c r="D184" i="2" s="1"/>
  <c r="C185" i="2"/>
  <c r="D185" i="2" s="1"/>
  <c r="C186" i="2"/>
  <c r="D186" i="2" s="1"/>
  <c r="C187" i="2"/>
  <c r="D187" i="2" s="1"/>
  <c r="C188" i="2"/>
  <c r="D188" i="2" s="1"/>
  <c r="C189" i="2"/>
  <c r="D189" i="2" s="1"/>
  <c r="C190" i="2"/>
  <c r="D190" i="2" s="1"/>
  <c r="C191" i="2"/>
  <c r="D191" i="2" s="1"/>
  <c r="C192" i="2"/>
  <c r="D192" i="2" s="1"/>
  <c r="C193" i="2"/>
  <c r="D193" i="2" s="1"/>
  <c r="C194" i="2"/>
  <c r="D194" i="2" s="1"/>
  <c r="C195" i="2"/>
  <c r="D195" i="2" s="1"/>
  <c r="C196" i="2"/>
  <c r="D196" i="2" s="1"/>
  <c r="C197" i="2"/>
  <c r="D197" i="2" s="1"/>
  <c r="C198" i="2"/>
  <c r="D198" i="2" s="1"/>
  <c r="C199" i="2"/>
  <c r="D199" i="2" s="1"/>
  <c r="C200" i="2"/>
  <c r="D200" i="2" s="1"/>
  <c r="C201" i="2"/>
  <c r="D201" i="2" s="1"/>
  <c r="C202" i="2"/>
  <c r="D202" i="2" s="1"/>
  <c r="C203" i="2"/>
  <c r="D203" i="2" s="1"/>
  <c r="C204" i="2"/>
  <c r="D204" i="2" s="1"/>
  <c r="C205" i="2"/>
  <c r="D205" i="2" s="1"/>
  <c r="C206" i="2"/>
  <c r="D206" i="2" s="1"/>
  <c r="C207" i="2"/>
  <c r="D207" i="2" s="1"/>
  <c r="C208" i="2"/>
  <c r="D208" i="2" s="1"/>
  <c r="C209" i="2"/>
  <c r="D209" i="2" s="1"/>
  <c r="C210" i="2"/>
  <c r="D210" i="2" s="1"/>
  <c r="C211" i="2"/>
  <c r="D211" i="2" s="1"/>
  <c r="C212" i="2"/>
  <c r="D212" i="2" s="1"/>
  <c r="C213" i="2"/>
  <c r="D213" i="2" s="1"/>
  <c r="C214" i="2"/>
  <c r="D214" i="2" s="1"/>
  <c r="C215" i="2"/>
  <c r="D215" i="2" s="1"/>
  <c r="C216" i="2"/>
  <c r="D216" i="2" s="1"/>
  <c r="C217" i="2"/>
  <c r="D217" i="2" s="1"/>
  <c r="C218" i="2"/>
  <c r="D218" i="2" s="1"/>
  <c r="C219" i="2"/>
  <c r="D219" i="2" s="1"/>
  <c r="C220" i="2"/>
  <c r="D220" i="2" s="1"/>
  <c r="C221" i="2"/>
  <c r="D221" i="2" s="1"/>
  <c r="C222" i="2"/>
  <c r="D222" i="2" s="1"/>
  <c r="C223" i="2"/>
  <c r="D223" i="2" s="1"/>
  <c r="C224" i="2"/>
  <c r="D224" i="2" s="1"/>
  <c r="C225" i="2"/>
  <c r="D225" i="2" s="1"/>
  <c r="C226" i="2"/>
  <c r="D226" i="2" s="1"/>
  <c r="C227" i="2"/>
  <c r="D227" i="2" s="1"/>
  <c r="C228" i="2"/>
  <c r="D228" i="2" s="1"/>
  <c r="C229" i="2"/>
  <c r="D229" i="2" s="1"/>
  <c r="C230" i="2"/>
  <c r="D230" i="2" s="1"/>
  <c r="C231" i="2"/>
  <c r="D231" i="2" s="1"/>
  <c r="C232" i="2"/>
  <c r="D232" i="2" s="1"/>
  <c r="C233" i="2"/>
  <c r="D233" i="2" s="1"/>
  <c r="C234" i="2"/>
  <c r="D234" i="2" s="1"/>
  <c r="C235" i="2"/>
  <c r="D235" i="2" s="1"/>
  <c r="C236" i="2"/>
  <c r="D236" i="2" s="1"/>
  <c r="C237" i="2"/>
  <c r="D237" i="2" s="1"/>
  <c r="C238" i="2"/>
  <c r="D238" i="2" s="1"/>
  <c r="C239" i="2"/>
  <c r="D239" i="2" s="1"/>
  <c r="C240" i="2"/>
  <c r="D240" i="2" s="1"/>
  <c r="C241" i="2"/>
  <c r="D241" i="2" s="1"/>
  <c r="C242" i="2"/>
  <c r="D242" i="2" s="1"/>
  <c r="C243" i="2"/>
  <c r="D243" i="2" s="1"/>
  <c r="C244" i="2"/>
  <c r="D244" i="2" s="1"/>
  <c r="C245" i="2"/>
  <c r="D245" i="2" s="1"/>
  <c r="C246" i="2"/>
  <c r="D246" i="2" s="1"/>
  <c r="C247" i="2"/>
  <c r="D247" i="2" s="1"/>
  <c r="C248" i="2"/>
  <c r="D248" i="2" s="1"/>
  <c r="C249" i="2"/>
  <c r="D249" i="2" s="1"/>
  <c r="C250" i="2"/>
  <c r="D250" i="2" s="1"/>
  <c r="F26" i="8"/>
  <c r="F27" i="8"/>
  <c r="F28" i="8"/>
  <c r="F29" i="8"/>
  <c r="F31" i="8"/>
  <c r="F32" i="8"/>
  <c r="F33" i="8"/>
  <c r="F34" i="8"/>
  <c r="F35" i="8"/>
  <c r="F36" i="8"/>
  <c r="F37" i="8"/>
  <c r="F38" i="8"/>
  <c r="F39" i="8"/>
  <c r="F40" i="8"/>
  <c r="F41" i="8"/>
  <c r="F42" i="8"/>
  <c r="F43" i="8"/>
  <c r="F44" i="8"/>
  <c r="F45" i="8"/>
  <c r="F46" i="8"/>
  <c r="F47" i="8"/>
  <c r="F48" i="8"/>
  <c r="F49" i="8"/>
  <c r="F50" i="8"/>
  <c r="F51" i="8"/>
  <c r="F52" i="8"/>
  <c r="F53" i="8"/>
  <c r="F54" i="8"/>
  <c r="F55" i="8"/>
  <c r="F56" i="8"/>
  <c r="F57" i="8"/>
  <c r="F58" i="8"/>
  <c r="F59" i="8"/>
  <c r="F60" i="8"/>
  <c r="F61" i="8"/>
  <c r="F62" i="8"/>
  <c r="F63" i="8"/>
  <c r="F64" i="8"/>
  <c r="F65" i="8"/>
  <c r="F66" i="8"/>
  <c r="F67" i="8"/>
  <c r="F68" i="8"/>
  <c r="F69" i="8"/>
  <c r="F70" i="8"/>
  <c r="F71" i="8"/>
  <c r="F72" i="8"/>
  <c r="F73" i="8"/>
  <c r="F74" i="8"/>
  <c r="F75" i="8"/>
  <c r="F76" i="8"/>
  <c r="F77" i="8"/>
  <c r="F78" i="8"/>
  <c r="F79" i="8"/>
  <c r="F80" i="8"/>
  <c r="F81" i="8"/>
  <c r="F82" i="8"/>
  <c r="F83" i="8"/>
  <c r="F84" i="8"/>
  <c r="F85" i="8"/>
  <c r="F86" i="8"/>
  <c r="F87" i="8"/>
  <c r="F88" i="8"/>
  <c r="F89" i="8"/>
  <c r="F90" i="8"/>
  <c r="F91" i="8"/>
  <c r="F92" i="8"/>
  <c r="F93" i="8"/>
  <c r="F94" i="8"/>
  <c r="F95" i="8"/>
  <c r="F96" i="8"/>
  <c r="F97" i="8"/>
  <c r="F98" i="8"/>
  <c r="F99" i="8"/>
  <c r="F100" i="8"/>
  <c r="F101" i="8"/>
  <c r="F102" i="8"/>
  <c r="F103" i="8"/>
  <c r="F104" i="8"/>
  <c r="F105" i="8"/>
  <c r="F106" i="8"/>
  <c r="F107" i="8"/>
  <c r="F108" i="8"/>
  <c r="F109" i="8"/>
  <c r="F110" i="8"/>
  <c r="F111" i="8"/>
  <c r="F112" i="8"/>
  <c r="F113" i="8"/>
  <c r="F114" i="8"/>
  <c r="F115" i="8"/>
  <c r="F116" i="8"/>
  <c r="F117" i="8"/>
  <c r="F118" i="8"/>
  <c r="F119" i="8"/>
  <c r="F120" i="8"/>
  <c r="F121" i="8"/>
  <c r="F122" i="8"/>
  <c r="F123" i="8"/>
  <c r="F124" i="8"/>
  <c r="F125" i="8"/>
  <c r="F126" i="8"/>
  <c r="F127" i="8"/>
  <c r="F128" i="8"/>
  <c r="F129" i="8"/>
  <c r="F130" i="8"/>
  <c r="F131" i="8"/>
  <c r="F132" i="8"/>
  <c r="F133" i="8"/>
  <c r="F134" i="8"/>
  <c r="F135" i="8"/>
  <c r="F136" i="8"/>
  <c r="F137" i="8"/>
  <c r="F138" i="8"/>
  <c r="F139" i="8"/>
  <c r="F140" i="8"/>
  <c r="F141" i="8"/>
  <c r="F142" i="8"/>
  <c r="F143" i="8"/>
  <c r="F144" i="8"/>
  <c r="F145" i="8"/>
  <c r="F146" i="8"/>
  <c r="F147" i="8"/>
  <c r="F148" i="8"/>
  <c r="F149" i="8"/>
  <c r="F150" i="8"/>
  <c r="F151" i="8"/>
  <c r="F152" i="8"/>
  <c r="F153" i="8"/>
  <c r="F154" i="8"/>
  <c r="F155" i="8"/>
  <c r="F156" i="8"/>
  <c r="F157" i="8"/>
  <c r="F158" i="8"/>
  <c r="F159" i="8"/>
  <c r="F160" i="8"/>
  <c r="F161" i="8"/>
  <c r="F162" i="8"/>
  <c r="F163" i="8"/>
  <c r="F164" i="8"/>
  <c r="F165" i="8"/>
  <c r="F166" i="8"/>
  <c r="F167" i="8"/>
  <c r="F168" i="8"/>
  <c r="F169" i="8"/>
  <c r="F170" i="8"/>
  <c r="F171" i="8"/>
  <c r="F172" i="8"/>
  <c r="F173" i="8"/>
  <c r="F174" i="8"/>
  <c r="F175" i="8"/>
  <c r="F176" i="8"/>
  <c r="F177" i="8"/>
  <c r="F178" i="8"/>
  <c r="F179" i="8"/>
  <c r="F180" i="8"/>
  <c r="F181" i="8"/>
  <c r="F182" i="8"/>
  <c r="F183" i="8"/>
  <c r="F184" i="8"/>
  <c r="F185" i="8"/>
  <c r="F186" i="8"/>
  <c r="F187" i="8"/>
  <c r="F188" i="8"/>
  <c r="F189" i="8"/>
  <c r="F190" i="8"/>
  <c r="F191" i="8"/>
  <c r="F192" i="8"/>
  <c r="F193" i="8"/>
  <c r="F194" i="8"/>
  <c r="F195" i="8"/>
  <c r="F196" i="8"/>
  <c r="F197" i="8"/>
  <c r="F198" i="8"/>
  <c r="F199" i="8"/>
  <c r="F200" i="8"/>
  <c r="F201" i="8"/>
  <c r="F202" i="8"/>
  <c r="F203" i="8"/>
  <c r="F204" i="8"/>
  <c r="F205" i="8"/>
  <c r="F206" i="8"/>
  <c r="F207" i="8"/>
  <c r="F208" i="8"/>
  <c r="F209" i="8"/>
  <c r="F210" i="8"/>
  <c r="F211" i="8"/>
  <c r="F212" i="8"/>
  <c r="F213" i="8"/>
  <c r="F214" i="8"/>
  <c r="F215" i="8"/>
  <c r="F216" i="8"/>
  <c r="F217" i="8"/>
  <c r="F218" i="8"/>
  <c r="F219" i="8"/>
  <c r="F220" i="8"/>
  <c r="F221" i="8"/>
  <c r="F222" i="8"/>
  <c r="F223" i="8"/>
  <c r="F224" i="8"/>
  <c r="F225" i="8"/>
  <c r="F226" i="8"/>
  <c r="F227" i="8"/>
  <c r="F228" i="8"/>
  <c r="F229" i="8"/>
  <c r="F230" i="8"/>
  <c r="F231" i="8"/>
  <c r="F232" i="8"/>
  <c r="F233" i="8"/>
  <c r="F234" i="8"/>
  <c r="F235" i="8"/>
  <c r="F236" i="8"/>
  <c r="F237" i="8"/>
  <c r="F238" i="8"/>
  <c r="F239" i="8"/>
  <c r="F240" i="8"/>
  <c r="F241" i="8"/>
  <c r="F242" i="8"/>
  <c r="F243" i="8"/>
  <c r="F244" i="8"/>
  <c r="F245" i="8"/>
  <c r="F246" i="8"/>
  <c r="F247" i="8"/>
  <c r="F248" i="8"/>
  <c r="F249" i="8"/>
  <c r="F250" i="8"/>
  <c r="F251" i="8"/>
  <c r="F252" i="8"/>
  <c r="F253" i="8"/>
  <c r="F254" i="8"/>
  <c r="F255" i="8"/>
  <c r="F256" i="8"/>
  <c r="F257" i="8"/>
  <c r="F258" i="8"/>
  <c r="F259" i="8"/>
  <c r="F260" i="8"/>
  <c r="F261" i="8"/>
  <c r="F262" i="8"/>
  <c r="M14" i="8" l="1"/>
  <c r="M15" i="8"/>
  <c r="M16" i="8"/>
  <c r="M17" i="8"/>
  <c r="M18" i="8"/>
  <c r="M19" i="8"/>
  <c r="M20" i="8"/>
  <c r="M21" i="8"/>
  <c r="M22" i="8"/>
  <c r="M23" i="8"/>
  <c r="M24" i="8"/>
  <c r="M25" i="8"/>
  <c r="M26" i="8"/>
  <c r="M27" i="8"/>
  <c r="M28" i="8"/>
  <c r="M29" i="8"/>
  <c r="M30" i="8"/>
  <c r="M31" i="8"/>
  <c r="M32" i="8"/>
  <c r="M33" i="8"/>
  <c r="M34" i="8"/>
  <c r="M35" i="8"/>
  <c r="M36" i="8"/>
  <c r="M37" i="8"/>
  <c r="M38" i="8"/>
  <c r="M39" i="8"/>
  <c r="M40" i="8"/>
  <c r="M41" i="8"/>
  <c r="M42" i="8"/>
  <c r="M43" i="8"/>
  <c r="M44" i="8"/>
  <c r="M45" i="8"/>
  <c r="M46" i="8"/>
  <c r="M47" i="8"/>
  <c r="M48" i="8"/>
  <c r="M49" i="8"/>
  <c r="M50" i="8"/>
  <c r="M51" i="8"/>
  <c r="M52" i="8"/>
  <c r="M53" i="8"/>
  <c r="M54" i="8"/>
  <c r="M55" i="8"/>
  <c r="M56" i="8"/>
  <c r="M57" i="8"/>
  <c r="M58" i="8"/>
  <c r="M59" i="8"/>
  <c r="M60" i="8"/>
  <c r="M61" i="8"/>
  <c r="M62" i="8"/>
  <c r="M63" i="8"/>
  <c r="M64" i="8"/>
  <c r="M65" i="8"/>
  <c r="M66" i="8"/>
  <c r="M67" i="8"/>
  <c r="M68" i="8"/>
  <c r="M69" i="8"/>
  <c r="M70" i="8"/>
  <c r="M71" i="8"/>
  <c r="M72" i="8"/>
  <c r="M73" i="8"/>
  <c r="M74" i="8"/>
  <c r="M75" i="8"/>
  <c r="M76" i="8"/>
  <c r="M77" i="8"/>
  <c r="M78" i="8"/>
  <c r="M79" i="8"/>
  <c r="M80" i="8"/>
  <c r="M81" i="8"/>
  <c r="M82" i="8"/>
  <c r="M83" i="8"/>
  <c r="M84" i="8"/>
  <c r="M85" i="8"/>
  <c r="M86" i="8"/>
  <c r="M87" i="8"/>
  <c r="M88" i="8"/>
  <c r="M89" i="8"/>
  <c r="M90" i="8"/>
  <c r="M91" i="8"/>
  <c r="M92" i="8"/>
  <c r="M93" i="8"/>
  <c r="M94" i="8"/>
  <c r="M95" i="8"/>
  <c r="M96" i="8"/>
  <c r="M97" i="8"/>
  <c r="M98" i="8"/>
  <c r="M99" i="8"/>
  <c r="M100" i="8"/>
  <c r="M101" i="8"/>
  <c r="M102" i="8"/>
  <c r="M103" i="8"/>
  <c r="M104" i="8"/>
  <c r="M105" i="8"/>
  <c r="M106" i="8"/>
  <c r="M107" i="8"/>
  <c r="M108" i="8"/>
  <c r="M109" i="8"/>
  <c r="M110" i="8"/>
  <c r="M111" i="8"/>
  <c r="M112" i="8"/>
  <c r="M113" i="8"/>
  <c r="M114" i="8"/>
  <c r="M115" i="8"/>
  <c r="M116" i="8"/>
  <c r="M117" i="8"/>
  <c r="M118" i="8"/>
  <c r="M119" i="8"/>
  <c r="M120" i="8"/>
  <c r="M121" i="8"/>
  <c r="M122" i="8"/>
  <c r="M123" i="8"/>
  <c r="M124" i="8"/>
  <c r="M125" i="8"/>
  <c r="M126" i="8"/>
  <c r="M127" i="8"/>
  <c r="M128" i="8"/>
  <c r="M129" i="8"/>
  <c r="M130" i="8"/>
  <c r="M131" i="8"/>
  <c r="M132" i="8"/>
  <c r="M133" i="8"/>
  <c r="M134" i="8"/>
  <c r="M135" i="8"/>
  <c r="M136" i="8"/>
  <c r="M137" i="8"/>
  <c r="M138" i="8"/>
  <c r="M139" i="8"/>
  <c r="M140" i="8"/>
  <c r="M141" i="8"/>
  <c r="M142" i="8"/>
  <c r="M143" i="8"/>
  <c r="M144" i="8"/>
  <c r="M145" i="8"/>
  <c r="M146" i="8"/>
  <c r="M147" i="8"/>
  <c r="M148" i="8"/>
  <c r="M149" i="8"/>
  <c r="M150" i="8"/>
  <c r="M151" i="8"/>
  <c r="M152" i="8"/>
  <c r="M153" i="8"/>
  <c r="M154" i="8"/>
  <c r="M155" i="8"/>
  <c r="M156" i="8"/>
  <c r="M157" i="8"/>
  <c r="M158" i="8"/>
  <c r="M159" i="8"/>
  <c r="M160" i="8"/>
  <c r="M161" i="8"/>
  <c r="M162" i="8"/>
  <c r="M163" i="8"/>
  <c r="M164" i="8"/>
  <c r="M165" i="8"/>
  <c r="M166" i="8"/>
  <c r="M167" i="8"/>
  <c r="M168" i="8"/>
  <c r="M169" i="8"/>
  <c r="M170" i="8"/>
  <c r="M171" i="8"/>
  <c r="M172" i="8"/>
  <c r="M173" i="8"/>
  <c r="M174" i="8"/>
  <c r="M175" i="8"/>
  <c r="M176" i="8"/>
  <c r="M177" i="8"/>
  <c r="M178" i="8"/>
  <c r="M179" i="8"/>
  <c r="M180" i="8"/>
  <c r="M181" i="8"/>
  <c r="M182" i="8"/>
  <c r="M183" i="8"/>
  <c r="M184" i="8"/>
  <c r="M185" i="8"/>
  <c r="M186" i="8"/>
  <c r="M187" i="8"/>
  <c r="M188" i="8"/>
  <c r="M189" i="8"/>
  <c r="M190" i="8"/>
  <c r="M191" i="8"/>
  <c r="M192" i="8"/>
  <c r="M193" i="8"/>
  <c r="M194" i="8"/>
  <c r="M195" i="8"/>
  <c r="M196" i="8"/>
  <c r="M197" i="8"/>
  <c r="M198" i="8"/>
  <c r="M199" i="8"/>
  <c r="M200" i="8"/>
  <c r="M201" i="8"/>
  <c r="M202" i="8"/>
  <c r="M203" i="8"/>
  <c r="M204" i="8"/>
  <c r="M205" i="8"/>
  <c r="M206" i="8"/>
  <c r="M207" i="8"/>
  <c r="M208" i="8"/>
  <c r="M209" i="8"/>
  <c r="M210" i="8"/>
  <c r="M211" i="8"/>
  <c r="M212" i="8"/>
  <c r="M213" i="8"/>
  <c r="M214" i="8"/>
  <c r="M215" i="8"/>
  <c r="M216" i="8"/>
  <c r="M217" i="8"/>
  <c r="M218" i="8"/>
  <c r="M219" i="8"/>
  <c r="M220" i="8"/>
  <c r="M221" i="8"/>
  <c r="M222" i="8"/>
  <c r="M223" i="8"/>
  <c r="M224" i="8"/>
  <c r="M225" i="8"/>
  <c r="M226" i="8"/>
  <c r="M227" i="8"/>
  <c r="M228" i="8"/>
  <c r="M229" i="8"/>
  <c r="M230" i="8"/>
  <c r="M231" i="8"/>
  <c r="M232" i="8"/>
  <c r="M233" i="8"/>
  <c r="M234" i="8"/>
  <c r="M235" i="8"/>
  <c r="M236" i="8"/>
  <c r="M237" i="8"/>
  <c r="M238" i="8"/>
  <c r="M239" i="8"/>
  <c r="M240" i="8"/>
  <c r="M241" i="8"/>
  <c r="M242" i="8"/>
  <c r="M243" i="8"/>
  <c r="M244" i="8"/>
  <c r="M245" i="8"/>
  <c r="M246" i="8"/>
  <c r="M247" i="8"/>
  <c r="M248" i="8"/>
  <c r="M249" i="8"/>
  <c r="M250" i="8"/>
  <c r="M251" i="8"/>
  <c r="M252" i="8"/>
  <c r="M253" i="8"/>
  <c r="M254" i="8"/>
  <c r="M255" i="8"/>
  <c r="M256" i="8"/>
  <c r="M257" i="8"/>
  <c r="M258" i="8"/>
  <c r="M259" i="8"/>
  <c r="M260" i="8"/>
  <c r="M261" i="8"/>
  <c r="M262" i="8"/>
  <c r="C14" i="2"/>
  <c r="D14" i="2" s="1"/>
  <c r="C15" i="2"/>
  <c r="D15" i="2" s="1"/>
  <c r="C16" i="2"/>
  <c r="D16" i="2" s="1"/>
  <c r="C17" i="2"/>
  <c r="D17" i="2" s="1"/>
  <c r="C18" i="2"/>
  <c r="D18" i="2" s="1"/>
  <c r="C19" i="2"/>
  <c r="D19" i="2" s="1"/>
  <c r="C20" i="2"/>
  <c r="D20" i="2" s="1"/>
  <c r="C21" i="2"/>
  <c r="D21" i="2" s="1"/>
  <c r="C22" i="2"/>
  <c r="D22" i="2" s="1"/>
  <c r="C23" i="2"/>
  <c r="D23" i="2" s="1"/>
  <c r="C24" i="2"/>
  <c r="D24" i="2" s="1"/>
  <c r="C25" i="2"/>
  <c r="D25" i="2" s="1"/>
  <c r="L428" i="2" l="1"/>
  <c r="L174" i="2"/>
  <c r="L380" i="2"/>
  <c r="L126" i="2"/>
  <c r="L364" i="2"/>
  <c r="L110" i="2"/>
  <c r="L348" i="2"/>
  <c r="L94" i="2"/>
  <c r="L300" i="2"/>
  <c r="L46" i="2"/>
  <c r="L443" i="2"/>
  <c r="L189" i="2"/>
  <c r="L411" i="2"/>
  <c r="L157" i="2"/>
  <c r="L395" i="2"/>
  <c r="L141" i="2"/>
  <c r="L379" i="2"/>
  <c r="L125" i="2"/>
  <c r="L363" i="2"/>
  <c r="L109" i="2"/>
  <c r="L347" i="2"/>
  <c r="L93" i="2"/>
  <c r="L331" i="2"/>
  <c r="L77" i="2"/>
  <c r="L315" i="2"/>
  <c r="L61" i="2"/>
  <c r="L299" i="2"/>
  <c r="L45" i="2"/>
  <c r="L283" i="2"/>
  <c r="L29" i="2"/>
  <c r="L204" i="2"/>
  <c r="L458" i="2"/>
  <c r="L442" i="2"/>
  <c r="L188" i="2"/>
  <c r="L426" i="2"/>
  <c r="L172" i="2"/>
  <c r="L410" i="2"/>
  <c r="L156" i="2"/>
  <c r="L140" i="2"/>
  <c r="L394" i="2"/>
  <c r="L378" i="2"/>
  <c r="L124" i="2"/>
  <c r="L362" i="2"/>
  <c r="L108" i="2"/>
  <c r="L92" i="2"/>
  <c r="L346" i="2"/>
  <c r="L330" i="2"/>
  <c r="L76" i="2"/>
  <c r="L314" i="2"/>
  <c r="L60" i="2"/>
  <c r="L44" i="2"/>
  <c r="L298" i="2"/>
  <c r="L28" i="2"/>
  <c r="L282" i="2"/>
  <c r="L203" i="2"/>
  <c r="L457" i="2"/>
  <c r="L187" i="2"/>
  <c r="L441" i="2"/>
  <c r="L171" i="2"/>
  <c r="L425" i="2"/>
  <c r="L155" i="2"/>
  <c r="L409" i="2"/>
  <c r="L139" i="2"/>
  <c r="L393" i="2"/>
  <c r="L123" i="2"/>
  <c r="L377" i="2"/>
  <c r="L107" i="2"/>
  <c r="L361" i="2"/>
  <c r="L91" i="2"/>
  <c r="L345" i="2"/>
  <c r="L75" i="2"/>
  <c r="L329" i="2"/>
  <c r="L59" i="2"/>
  <c r="L313" i="2"/>
  <c r="L43" i="2"/>
  <c r="L297" i="2"/>
  <c r="L27" i="2"/>
  <c r="L281" i="2"/>
  <c r="L202" i="2"/>
  <c r="L456" i="2"/>
  <c r="L186" i="2"/>
  <c r="L440" i="2"/>
  <c r="L170" i="2"/>
  <c r="L424" i="2"/>
  <c r="L154" i="2"/>
  <c r="L408" i="2"/>
  <c r="L138" i="2"/>
  <c r="L392" i="2"/>
  <c r="L122" i="2"/>
  <c r="L376" i="2"/>
  <c r="L106" i="2"/>
  <c r="L360" i="2"/>
  <c r="L90" i="2"/>
  <c r="L344" i="2"/>
  <c r="L74" i="2"/>
  <c r="L328" i="2"/>
  <c r="L58" i="2"/>
  <c r="L312" i="2"/>
  <c r="L42" i="2"/>
  <c r="L296" i="2"/>
  <c r="L26" i="2"/>
  <c r="L280" i="2"/>
  <c r="L201" i="2"/>
  <c r="L455" i="2"/>
  <c r="L185" i="2"/>
  <c r="L439" i="2"/>
  <c r="L169" i="2"/>
  <c r="L423" i="2"/>
  <c r="L153" i="2"/>
  <c r="L407" i="2"/>
  <c r="L137" i="2"/>
  <c r="L391" i="2"/>
  <c r="L121" i="2"/>
  <c r="L375" i="2"/>
  <c r="L105" i="2"/>
  <c r="L359" i="2"/>
  <c r="L89" i="2"/>
  <c r="L343" i="2"/>
  <c r="L73" i="2"/>
  <c r="L327" i="2"/>
  <c r="L57" i="2"/>
  <c r="L311" i="2"/>
  <c r="L41" i="2"/>
  <c r="L295" i="2"/>
  <c r="L25" i="2"/>
  <c r="L279" i="2"/>
  <c r="L200" i="2"/>
  <c r="L454" i="2"/>
  <c r="L184" i="2"/>
  <c r="L438" i="2"/>
  <c r="L168" i="2"/>
  <c r="L422" i="2"/>
  <c r="L152" i="2"/>
  <c r="L406" i="2"/>
  <c r="L136" i="2"/>
  <c r="L390" i="2"/>
  <c r="L120" i="2"/>
  <c r="L374" i="2"/>
  <c r="L104" i="2"/>
  <c r="L358" i="2"/>
  <c r="L88" i="2"/>
  <c r="L342" i="2"/>
  <c r="L72" i="2"/>
  <c r="L326" i="2"/>
  <c r="L56" i="2"/>
  <c r="L310" i="2"/>
  <c r="L40" i="2"/>
  <c r="L294" i="2"/>
  <c r="L24" i="2"/>
  <c r="L278" i="2"/>
  <c r="L460" i="2"/>
  <c r="L206" i="2"/>
  <c r="L316" i="2"/>
  <c r="L62" i="2"/>
  <c r="L459" i="2"/>
  <c r="L205" i="2"/>
  <c r="L135" i="2"/>
  <c r="L389" i="2"/>
  <c r="L23" i="2"/>
  <c r="L277" i="2"/>
  <c r="L404" i="2"/>
  <c r="L150" i="2"/>
  <c r="L340" i="2"/>
  <c r="L86" i="2"/>
  <c r="L54" i="2"/>
  <c r="L308" i="2"/>
  <c r="L403" i="2"/>
  <c r="L149" i="2"/>
  <c r="L37" i="2"/>
  <c r="L291" i="2"/>
  <c r="L196" i="2"/>
  <c r="L450" i="2"/>
  <c r="L148" i="2"/>
  <c r="L402" i="2"/>
  <c r="L100" i="2"/>
  <c r="L354" i="2"/>
  <c r="L52" i="2"/>
  <c r="L306" i="2"/>
  <c r="L211" i="2"/>
  <c r="L465" i="2"/>
  <c r="L179" i="2"/>
  <c r="L433" i="2"/>
  <c r="L163" i="2"/>
  <c r="L417" i="2"/>
  <c r="L147" i="2"/>
  <c r="L401" i="2"/>
  <c r="L131" i="2"/>
  <c r="L385" i="2"/>
  <c r="L115" i="2"/>
  <c r="L369" i="2"/>
  <c r="L99" i="2"/>
  <c r="L353" i="2"/>
  <c r="L83" i="2"/>
  <c r="L337" i="2"/>
  <c r="L67" i="2"/>
  <c r="L321" i="2"/>
  <c r="L51" i="2"/>
  <c r="L305" i="2"/>
  <c r="L35" i="2"/>
  <c r="L289" i="2"/>
  <c r="L444" i="2"/>
  <c r="L190" i="2"/>
  <c r="L284" i="2"/>
  <c r="L30" i="2"/>
  <c r="L183" i="2"/>
  <c r="L437" i="2"/>
  <c r="L119" i="2"/>
  <c r="L373" i="2"/>
  <c r="L39" i="2"/>
  <c r="L293" i="2"/>
  <c r="L198" i="2"/>
  <c r="L452" i="2"/>
  <c r="L118" i="2"/>
  <c r="L372" i="2"/>
  <c r="L276" i="2"/>
  <c r="L22" i="2"/>
  <c r="L181" i="2"/>
  <c r="L435" i="2"/>
  <c r="L133" i="2"/>
  <c r="L387" i="2"/>
  <c r="L85" i="2"/>
  <c r="L339" i="2"/>
  <c r="L69" i="2"/>
  <c r="L323" i="2"/>
  <c r="L180" i="2"/>
  <c r="L434" i="2"/>
  <c r="L132" i="2"/>
  <c r="L386" i="2"/>
  <c r="L84" i="2"/>
  <c r="L338" i="2"/>
  <c r="L36" i="2"/>
  <c r="L290" i="2"/>
  <c r="L195" i="2"/>
  <c r="L449" i="2"/>
  <c r="L464" i="2"/>
  <c r="L210" i="2"/>
  <c r="L448" i="2"/>
  <c r="L194" i="2"/>
  <c r="L432" i="2"/>
  <c r="L178" i="2"/>
  <c r="L416" i="2"/>
  <c r="L162" i="2"/>
  <c r="L400" i="2"/>
  <c r="L146" i="2"/>
  <c r="L384" i="2"/>
  <c r="L130" i="2"/>
  <c r="L368" i="2"/>
  <c r="L114" i="2"/>
  <c r="L352" i="2"/>
  <c r="L98" i="2"/>
  <c r="L336" i="2"/>
  <c r="L82" i="2"/>
  <c r="L320" i="2"/>
  <c r="L66" i="2"/>
  <c r="L304" i="2"/>
  <c r="L50" i="2"/>
  <c r="L288" i="2"/>
  <c r="L34" i="2"/>
  <c r="L412" i="2"/>
  <c r="L158" i="2"/>
  <c r="L199" i="2"/>
  <c r="L453" i="2"/>
  <c r="L151" i="2"/>
  <c r="L405" i="2"/>
  <c r="L87" i="2"/>
  <c r="L341" i="2"/>
  <c r="L71" i="2"/>
  <c r="L325" i="2"/>
  <c r="L420" i="2"/>
  <c r="L166" i="2"/>
  <c r="L102" i="2"/>
  <c r="L356" i="2"/>
  <c r="L38" i="2"/>
  <c r="L292" i="2"/>
  <c r="L165" i="2"/>
  <c r="L419" i="2"/>
  <c r="L101" i="2"/>
  <c r="L355" i="2"/>
  <c r="L53" i="2"/>
  <c r="L307" i="2"/>
  <c r="L164" i="2"/>
  <c r="L418" i="2"/>
  <c r="L116" i="2"/>
  <c r="L370" i="2"/>
  <c r="L68" i="2"/>
  <c r="L322" i="2"/>
  <c r="L463" i="2"/>
  <c r="L209" i="2"/>
  <c r="L447" i="2"/>
  <c r="L193" i="2"/>
  <c r="L431" i="2"/>
  <c r="L177" i="2"/>
  <c r="L415" i="2"/>
  <c r="L161" i="2"/>
  <c r="L399" i="2"/>
  <c r="L145" i="2"/>
  <c r="L383" i="2"/>
  <c r="L129" i="2"/>
  <c r="L367" i="2"/>
  <c r="L113" i="2"/>
  <c r="L351" i="2"/>
  <c r="L97" i="2"/>
  <c r="L335" i="2"/>
  <c r="L81" i="2"/>
  <c r="L319" i="2"/>
  <c r="L65" i="2"/>
  <c r="L303" i="2"/>
  <c r="L49" i="2"/>
  <c r="L287" i="2"/>
  <c r="L33" i="2"/>
  <c r="L396" i="2"/>
  <c r="L142" i="2"/>
  <c r="L332" i="2"/>
  <c r="L78" i="2"/>
  <c r="L427" i="2"/>
  <c r="L173" i="2"/>
  <c r="L167" i="2"/>
  <c r="L421" i="2"/>
  <c r="L103" i="2"/>
  <c r="L357" i="2"/>
  <c r="L55" i="2"/>
  <c r="L309" i="2"/>
  <c r="L182" i="2"/>
  <c r="L436" i="2"/>
  <c r="L134" i="2"/>
  <c r="L388" i="2"/>
  <c r="L324" i="2"/>
  <c r="L70" i="2"/>
  <c r="L197" i="2"/>
  <c r="L451" i="2"/>
  <c r="L117" i="2"/>
  <c r="L371" i="2"/>
  <c r="L212" i="2"/>
  <c r="L466" i="2"/>
  <c r="L462" i="2"/>
  <c r="L208" i="2"/>
  <c r="L446" i="2"/>
  <c r="L192" i="2"/>
  <c r="L430" i="2"/>
  <c r="L176" i="2"/>
  <c r="L414" i="2"/>
  <c r="L160" i="2"/>
  <c r="L398" i="2"/>
  <c r="L144" i="2"/>
  <c r="L382" i="2"/>
  <c r="L128" i="2"/>
  <c r="L366" i="2"/>
  <c r="L112" i="2"/>
  <c r="L350" i="2"/>
  <c r="L96" i="2"/>
  <c r="L334" i="2"/>
  <c r="L80" i="2"/>
  <c r="L318" i="2"/>
  <c r="L64" i="2"/>
  <c r="L302" i="2"/>
  <c r="L48" i="2"/>
  <c r="L286" i="2"/>
  <c r="L32" i="2"/>
  <c r="L461" i="2"/>
  <c r="L207" i="2"/>
  <c r="L445" i="2"/>
  <c r="L191" i="2"/>
  <c r="L429" i="2"/>
  <c r="L175" i="2"/>
  <c r="L413" i="2"/>
  <c r="L159" i="2"/>
  <c r="L397" i="2"/>
  <c r="L143" i="2"/>
  <c r="L381" i="2"/>
  <c r="L127" i="2"/>
  <c r="L365" i="2"/>
  <c r="L111" i="2"/>
  <c r="L349" i="2"/>
  <c r="L95" i="2"/>
  <c r="L333" i="2"/>
  <c r="L79" i="2"/>
  <c r="L317" i="2"/>
  <c r="L63" i="2"/>
  <c r="L301" i="2"/>
  <c r="L47" i="2"/>
  <c r="L285" i="2"/>
  <c r="L31" i="2"/>
  <c r="F13" i="8"/>
  <c r="E14" i="2"/>
  <c r="E15" i="2"/>
  <c r="E16" i="2"/>
  <c r="E17" i="2"/>
  <c r="E18" i="2"/>
  <c r="E19" i="2"/>
  <c r="E20" i="2"/>
  <c r="E21" i="2"/>
  <c r="E22" i="2"/>
  <c r="E23" i="2"/>
  <c r="E24" i="2"/>
  <c r="E25" i="2"/>
  <c r="E26" i="2"/>
  <c r="E27" i="2"/>
  <c r="E28" i="2"/>
  <c r="E29" i="2"/>
  <c r="E30" i="2"/>
  <c r="E31" i="2"/>
  <c r="E32" i="2"/>
  <c r="E33" i="2"/>
  <c r="E34" i="2"/>
  <c r="E35" i="2"/>
  <c r="E36" i="2"/>
  <c r="E37" i="2"/>
  <c r="E38" i="2"/>
  <c r="E39" i="2"/>
  <c r="E40" i="2"/>
  <c r="E41" i="2"/>
  <c r="E42" i="2"/>
  <c r="E43" i="2"/>
  <c r="E44" i="2"/>
  <c r="E45" i="2"/>
  <c r="E46" i="2"/>
  <c r="E47" i="2"/>
  <c r="E48" i="2"/>
  <c r="E49" i="2"/>
  <c r="E50" i="2"/>
  <c r="E51" i="2"/>
  <c r="E52" i="2"/>
  <c r="E53" i="2"/>
  <c r="E54" i="2"/>
  <c r="E55" i="2"/>
  <c r="E56" i="2"/>
  <c r="E57" i="2"/>
  <c r="E58" i="2"/>
  <c r="E59" i="2"/>
  <c r="E60" i="2"/>
  <c r="E61" i="2"/>
  <c r="E62" i="2"/>
  <c r="E63" i="2"/>
  <c r="E64" i="2"/>
  <c r="E65" i="2"/>
  <c r="E66" i="2"/>
  <c r="E67" i="2"/>
  <c r="E68" i="2"/>
  <c r="E69" i="2"/>
  <c r="E70" i="2"/>
  <c r="E71" i="2"/>
  <c r="E72" i="2"/>
  <c r="E73" i="2"/>
  <c r="E74" i="2"/>
  <c r="E75" i="2"/>
  <c r="E76" i="2"/>
  <c r="E77" i="2"/>
  <c r="E78" i="2"/>
  <c r="E79" i="2"/>
  <c r="E80" i="2"/>
  <c r="E81" i="2"/>
  <c r="E82" i="2"/>
  <c r="E83" i="2"/>
  <c r="E84" i="2"/>
  <c r="E85" i="2"/>
  <c r="E86" i="2"/>
  <c r="E87" i="2"/>
  <c r="E88" i="2"/>
  <c r="E89" i="2"/>
  <c r="E90" i="2"/>
  <c r="E91" i="2"/>
  <c r="E92" i="2"/>
  <c r="E93" i="2"/>
  <c r="E94" i="2"/>
  <c r="E95" i="2"/>
  <c r="E96" i="2"/>
  <c r="E97" i="2"/>
  <c r="E98" i="2"/>
  <c r="E99" i="2"/>
  <c r="E100" i="2"/>
  <c r="E101" i="2"/>
  <c r="E102" i="2"/>
  <c r="E103" i="2"/>
  <c r="E104" i="2"/>
  <c r="E105" i="2"/>
  <c r="E106" i="2"/>
  <c r="E107" i="2"/>
  <c r="E108" i="2"/>
  <c r="E109" i="2"/>
  <c r="E110" i="2"/>
  <c r="E111" i="2"/>
  <c r="E112" i="2"/>
  <c r="E113" i="2"/>
  <c r="E114" i="2"/>
  <c r="E115" i="2"/>
  <c r="E116" i="2"/>
  <c r="E117" i="2"/>
  <c r="E118" i="2"/>
  <c r="E119" i="2"/>
  <c r="E120" i="2"/>
  <c r="E121" i="2"/>
  <c r="E122" i="2"/>
  <c r="E123" i="2"/>
  <c r="E124" i="2"/>
  <c r="E125" i="2"/>
  <c r="E126" i="2"/>
  <c r="E127" i="2"/>
  <c r="E128" i="2"/>
  <c r="E129" i="2"/>
  <c r="E130" i="2"/>
  <c r="E131" i="2"/>
  <c r="E132" i="2"/>
  <c r="E133" i="2"/>
  <c r="E134" i="2"/>
  <c r="E135" i="2"/>
  <c r="E136" i="2"/>
  <c r="E137" i="2"/>
  <c r="E138" i="2"/>
  <c r="E139" i="2"/>
  <c r="E140" i="2"/>
  <c r="E141" i="2"/>
  <c r="E142" i="2"/>
  <c r="E143" i="2"/>
  <c r="E144" i="2"/>
  <c r="E145" i="2"/>
  <c r="E146" i="2"/>
  <c r="E147" i="2"/>
  <c r="E148" i="2"/>
  <c r="E149" i="2"/>
  <c r="E150" i="2"/>
  <c r="E151" i="2"/>
  <c r="E152" i="2"/>
  <c r="E153" i="2"/>
  <c r="E154" i="2"/>
  <c r="E155" i="2"/>
  <c r="E156" i="2"/>
  <c r="E157" i="2"/>
  <c r="E158" i="2"/>
  <c r="E159" i="2"/>
  <c r="E160" i="2"/>
  <c r="E161" i="2"/>
  <c r="E162" i="2"/>
  <c r="E163" i="2"/>
  <c r="E164" i="2"/>
  <c r="E165" i="2"/>
  <c r="E166" i="2"/>
  <c r="E167" i="2"/>
  <c r="E168" i="2"/>
  <c r="E169" i="2"/>
  <c r="E170" i="2"/>
  <c r="E171" i="2"/>
  <c r="E172" i="2"/>
  <c r="E173" i="2"/>
  <c r="E174" i="2"/>
  <c r="E175" i="2"/>
  <c r="E176" i="2"/>
  <c r="E177" i="2"/>
  <c r="E178" i="2"/>
  <c r="E179" i="2"/>
  <c r="E180" i="2"/>
  <c r="E181" i="2"/>
  <c r="E182" i="2"/>
  <c r="E183" i="2"/>
  <c r="E184" i="2"/>
  <c r="E185" i="2"/>
  <c r="E186" i="2"/>
  <c r="E187" i="2"/>
  <c r="E188" i="2"/>
  <c r="E189" i="2"/>
  <c r="E190" i="2"/>
  <c r="E191" i="2"/>
  <c r="E192" i="2"/>
  <c r="E193" i="2"/>
  <c r="E194" i="2"/>
  <c r="E195" i="2"/>
  <c r="E196" i="2"/>
  <c r="E197" i="2"/>
  <c r="E198" i="2"/>
  <c r="E199" i="2"/>
  <c r="E200" i="2"/>
  <c r="E201" i="2"/>
  <c r="E202" i="2"/>
  <c r="E203" i="2"/>
  <c r="E204" i="2"/>
  <c r="E205" i="2"/>
  <c r="E206" i="2"/>
  <c r="E207" i="2"/>
  <c r="E208" i="2"/>
  <c r="E209" i="2"/>
  <c r="E210" i="2"/>
  <c r="E211" i="2"/>
  <c r="E212" i="2"/>
  <c r="E213" i="2"/>
  <c r="E214" i="2"/>
  <c r="E215" i="2"/>
  <c r="E216" i="2"/>
  <c r="E217" i="2"/>
  <c r="E218" i="2"/>
  <c r="E219" i="2"/>
  <c r="E220" i="2"/>
  <c r="E221" i="2"/>
  <c r="E222" i="2"/>
  <c r="E223" i="2"/>
  <c r="E224" i="2"/>
  <c r="E225" i="2"/>
  <c r="E226" i="2"/>
  <c r="E227" i="2"/>
  <c r="E228" i="2"/>
  <c r="E229" i="2"/>
  <c r="E230" i="2"/>
  <c r="E231" i="2"/>
  <c r="E232" i="2"/>
  <c r="E233" i="2"/>
  <c r="E234" i="2"/>
  <c r="E235" i="2"/>
  <c r="E236" i="2"/>
  <c r="E237" i="2"/>
  <c r="E238" i="2"/>
  <c r="E239" i="2"/>
  <c r="E240" i="2"/>
  <c r="E241" i="2"/>
  <c r="E242" i="2"/>
  <c r="E243" i="2"/>
  <c r="E244" i="2"/>
  <c r="E245" i="2"/>
  <c r="E246" i="2"/>
  <c r="E247" i="2"/>
  <c r="E248" i="2"/>
  <c r="E249" i="2"/>
  <c r="E250" i="2"/>
  <c r="M512" i="10" l="1"/>
  <c r="M511" i="10"/>
  <c r="M510" i="10"/>
  <c r="M509" i="10"/>
  <c r="M508" i="10"/>
  <c r="M507" i="10"/>
  <c r="M506" i="10"/>
  <c r="M505" i="10"/>
  <c r="M504" i="10"/>
  <c r="M503" i="10"/>
  <c r="M502" i="10"/>
  <c r="M501" i="10"/>
  <c r="M500" i="10"/>
  <c r="M499" i="10"/>
  <c r="M498" i="10"/>
  <c r="M497" i="10"/>
  <c r="M496" i="10"/>
  <c r="M495" i="10"/>
  <c r="M494" i="10"/>
  <c r="M493" i="10"/>
  <c r="M492" i="10"/>
  <c r="M491" i="10"/>
  <c r="M490" i="10"/>
  <c r="M489" i="10"/>
  <c r="M488" i="10"/>
  <c r="M487" i="10"/>
  <c r="M486" i="10"/>
  <c r="M485" i="10"/>
  <c r="M484" i="10"/>
  <c r="M483" i="10"/>
  <c r="M482" i="10"/>
  <c r="M481" i="10"/>
  <c r="M480" i="10"/>
  <c r="M479" i="10"/>
  <c r="M478" i="10"/>
  <c r="M477" i="10"/>
  <c r="M476" i="10"/>
  <c r="M475" i="10"/>
  <c r="M474" i="10"/>
  <c r="M473" i="10"/>
  <c r="M472" i="10"/>
  <c r="M471" i="10"/>
  <c r="M470" i="10"/>
  <c r="M469" i="10"/>
  <c r="M468" i="10"/>
  <c r="M467" i="10"/>
  <c r="M466" i="10"/>
  <c r="M465" i="10"/>
  <c r="M464" i="10"/>
  <c r="M463" i="10"/>
  <c r="M462" i="10"/>
  <c r="M461" i="10"/>
  <c r="M460" i="10"/>
  <c r="M459" i="10"/>
  <c r="M458" i="10"/>
  <c r="M457" i="10"/>
  <c r="M456" i="10"/>
  <c r="M455" i="10"/>
  <c r="M454" i="10"/>
  <c r="M453" i="10"/>
  <c r="M452" i="10"/>
  <c r="M451" i="10"/>
  <c r="M450" i="10"/>
  <c r="M449" i="10"/>
  <c r="M448" i="10"/>
  <c r="M447" i="10"/>
  <c r="M446" i="10"/>
  <c r="M445" i="10"/>
  <c r="M444" i="10"/>
  <c r="M443" i="10"/>
  <c r="M442" i="10"/>
  <c r="M441" i="10"/>
  <c r="M440" i="10"/>
  <c r="M439" i="10"/>
  <c r="M438" i="10"/>
  <c r="M437" i="10"/>
  <c r="M436" i="10"/>
  <c r="M435" i="10"/>
  <c r="M434" i="10"/>
  <c r="M433" i="10"/>
  <c r="M432" i="10"/>
  <c r="M431" i="10"/>
  <c r="M430" i="10"/>
  <c r="M429" i="10"/>
  <c r="M428" i="10"/>
  <c r="M427" i="10"/>
  <c r="M426" i="10"/>
  <c r="M425" i="10"/>
  <c r="M424" i="10"/>
  <c r="M423" i="10"/>
  <c r="M422" i="10"/>
  <c r="M421" i="10"/>
  <c r="M420" i="10"/>
  <c r="M419" i="10"/>
  <c r="M418" i="10"/>
  <c r="M417" i="10"/>
  <c r="M416" i="10"/>
  <c r="M415" i="10"/>
  <c r="M414" i="10"/>
  <c r="M413" i="10"/>
  <c r="M412" i="10"/>
  <c r="M411" i="10"/>
  <c r="M410" i="10"/>
  <c r="M409" i="10"/>
  <c r="M408" i="10"/>
  <c r="M407" i="10"/>
  <c r="M406" i="10"/>
  <c r="M405" i="10"/>
  <c r="M404" i="10"/>
  <c r="M403" i="10"/>
  <c r="M402" i="10"/>
  <c r="M401" i="10"/>
  <c r="M400" i="10"/>
  <c r="M399" i="10"/>
  <c r="M398" i="10"/>
  <c r="M397" i="10"/>
  <c r="M396" i="10"/>
  <c r="M395" i="10"/>
  <c r="M394" i="10"/>
  <c r="M393" i="10"/>
  <c r="M392" i="10"/>
  <c r="M391" i="10"/>
  <c r="M390" i="10"/>
  <c r="M389" i="10"/>
  <c r="M388" i="10"/>
  <c r="M387" i="10"/>
  <c r="M386" i="10"/>
  <c r="M385" i="10"/>
  <c r="M384" i="10"/>
  <c r="M383" i="10"/>
  <c r="M382" i="10"/>
  <c r="M381" i="10"/>
  <c r="M380" i="10"/>
  <c r="M379" i="10"/>
  <c r="M378" i="10"/>
  <c r="M377" i="10"/>
  <c r="M376" i="10"/>
  <c r="M375" i="10"/>
  <c r="M374" i="10"/>
  <c r="M373" i="10"/>
  <c r="M372" i="10"/>
  <c r="M371" i="10"/>
  <c r="M370" i="10"/>
  <c r="M369" i="10"/>
  <c r="M368" i="10"/>
  <c r="M367" i="10"/>
  <c r="M366" i="10"/>
  <c r="M365" i="10"/>
  <c r="M364" i="10"/>
  <c r="M363" i="10"/>
  <c r="M362" i="10"/>
  <c r="M361" i="10"/>
  <c r="M360" i="10"/>
  <c r="M359" i="10"/>
  <c r="M358" i="10"/>
  <c r="M357" i="10"/>
  <c r="M356" i="10"/>
  <c r="M355" i="10"/>
  <c r="M354" i="10"/>
  <c r="M353" i="10"/>
  <c r="M352" i="10"/>
  <c r="M351" i="10"/>
  <c r="M350" i="10"/>
  <c r="M349" i="10"/>
  <c r="M348" i="10"/>
  <c r="M347" i="10"/>
  <c r="M346" i="10"/>
  <c r="M345" i="10"/>
  <c r="M344" i="10"/>
  <c r="M343" i="10"/>
  <c r="M342" i="10"/>
  <c r="M341" i="10"/>
  <c r="M340" i="10"/>
  <c r="M339" i="10"/>
  <c r="M338" i="10"/>
  <c r="M337" i="10"/>
  <c r="M336" i="10"/>
  <c r="M335" i="10"/>
  <c r="M334" i="10"/>
  <c r="M333" i="10"/>
  <c r="M332" i="10"/>
  <c r="M331" i="10"/>
  <c r="M330" i="10"/>
  <c r="M329" i="10"/>
  <c r="M328" i="10"/>
  <c r="M327" i="10"/>
  <c r="M326" i="10"/>
  <c r="M325" i="10"/>
  <c r="M324" i="10"/>
  <c r="M323" i="10"/>
  <c r="M322" i="10"/>
  <c r="M321" i="10"/>
  <c r="M320" i="10"/>
  <c r="M319" i="10"/>
  <c r="M318" i="10"/>
  <c r="M317" i="10"/>
  <c r="M316" i="10"/>
  <c r="M315" i="10"/>
  <c r="M314" i="10"/>
  <c r="M313" i="10"/>
  <c r="M312" i="10"/>
  <c r="M311" i="10"/>
  <c r="M310" i="10"/>
  <c r="M309" i="10"/>
  <c r="M308" i="10"/>
  <c r="M307" i="10"/>
  <c r="M306" i="10"/>
  <c r="M305" i="10"/>
  <c r="M304" i="10"/>
  <c r="M303" i="10"/>
  <c r="M302" i="10"/>
  <c r="M301" i="10"/>
  <c r="M300" i="10"/>
  <c r="M299" i="10"/>
  <c r="M298" i="10"/>
  <c r="M297" i="10"/>
  <c r="M296" i="10"/>
  <c r="M295" i="10"/>
  <c r="M294" i="10"/>
  <c r="M293" i="10"/>
  <c r="M292" i="10"/>
  <c r="M291" i="10"/>
  <c r="M290" i="10"/>
  <c r="M289" i="10"/>
  <c r="M288" i="10"/>
  <c r="M287" i="10"/>
  <c r="M286" i="10"/>
  <c r="M285" i="10"/>
  <c r="M284" i="10"/>
  <c r="M283" i="10"/>
  <c r="M282" i="10"/>
  <c r="M281" i="10"/>
  <c r="M280" i="10"/>
  <c r="M279" i="10"/>
  <c r="M278" i="10"/>
  <c r="M277" i="10"/>
  <c r="M276" i="10"/>
  <c r="M275" i="10"/>
  <c r="M274" i="10"/>
  <c r="M273" i="10"/>
  <c r="M272" i="10"/>
  <c r="M271" i="10"/>
  <c r="M270" i="10"/>
  <c r="M269" i="10"/>
  <c r="M268" i="10"/>
  <c r="M267" i="10"/>
  <c r="M266" i="10"/>
  <c r="M265" i="10"/>
  <c r="M264" i="10"/>
  <c r="M263" i="10"/>
  <c r="M262" i="10"/>
  <c r="M261" i="10"/>
  <c r="M260" i="10"/>
  <c r="M259" i="10"/>
  <c r="M258" i="10"/>
  <c r="M257" i="10"/>
  <c r="M256" i="10"/>
  <c r="M255" i="10"/>
  <c r="M254" i="10"/>
  <c r="M253" i="10"/>
  <c r="M252" i="10"/>
  <c r="M251" i="10"/>
  <c r="M250" i="10"/>
  <c r="M249" i="10"/>
  <c r="M248" i="10"/>
  <c r="M247" i="10"/>
  <c r="M246" i="10"/>
  <c r="M245" i="10"/>
  <c r="M244" i="10"/>
  <c r="M243" i="10"/>
  <c r="M242" i="10"/>
  <c r="M241" i="10"/>
  <c r="M240" i="10"/>
  <c r="M239" i="10"/>
  <c r="M238" i="10"/>
  <c r="M237" i="10"/>
  <c r="M236" i="10"/>
  <c r="M235" i="10"/>
  <c r="M234" i="10"/>
  <c r="M233" i="10"/>
  <c r="M232" i="10"/>
  <c r="M231" i="10"/>
  <c r="M230" i="10"/>
  <c r="M229" i="10"/>
  <c r="M228" i="10"/>
  <c r="M227" i="10"/>
  <c r="M226" i="10"/>
  <c r="M225" i="10"/>
  <c r="M224" i="10"/>
  <c r="M223" i="10"/>
  <c r="M222" i="10"/>
  <c r="M221" i="10"/>
  <c r="M220" i="10"/>
  <c r="M219" i="10"/>
  <c r="M218" i="10"/>
  <c r="M217" i="10"/>
  <c r="M216" i="10"/>
  <c r="M215" i="10"/>
  <c r="M214" i="10"/>
  <c r="M213" i="10"/>
  <c r="M212" i="10"/>
  <c r="M211" i="10"/>
  <c r="M210" i="10"/>
  <c r="M209" i="10"/>
  <c r="M208" i="10"/>
  <c r="M207" i="10"/>
  <c r="M206" i="10"/>
  <c r="M205" i="10"/>
  <c r="M204" i="10"/>
  <c r="M203" i="10"/>
  <c r="M202" i="10"/>
  <c r="M201" i="10"/>
  <c r="M200" i="10"/>
  <c r="M199" i="10"/>
  <c r="M198" i="10"/>
  <c r="M197" i="10"/>
  <c r="M196" i="10"/>
  <c r="M195" i="10"/>
  <c r="M194" i="10"/>
  <c r="M193" i="10"/>
  <c r="M192" i="10"/>
  <c r="M191" i="10"/>
  <c r="M190" i="10"/>
  <c r="M189" i="10"/>
  <c r="M188" i="10"/>
  <c r="M187" i="10"/>
  <c r="M186" i="10"/>
  <c r="M185" i="10"/>
  <c r="M184" i="10"/>
  <c r="M183" i="10"/>
  <c r="M182" i="10"/>
  <c r="M181" i="10"/>
  <c r="M180" i="10"/>
  <c r="M179" i="10"/>
  <c r="M178" i="10"/>
  <c r="M177" i="10"/>
  <c r="M176" i="10"/>
  <c r="M175" i="10"/>
  <c r="M174" i="10"/>
  <c r="M173" i="10"/>
  <c r="M172" i="10"/>
  <c r="M171" i="10"/>
  <c r="M170" i="10"/>
  <c r="M169" i="10"/>
  <c r="M168" i="10"/>
  <c r="M167" i="10"/>
  <c r="M166" i="10"/>
  <c r="M165" i="10"/>
  <c r="M164" i="10"/>
  <c r="M163" i="10"/>
  <c r="M162" i="10"/>
  <c r="M161" i="10"/>
  <c r="M160" i="10"/>
  <c r="M159" i="10"/>
  <c r="M158" i="10"/>
  <c r="M157" i="10"/>
  <c r="M156" i="10"/>
  <c r="M155" i="10"/>
  <c r="M154" i="10"/>
  <c r="M153" i="10"/>
  <c r="M152" i="10"/>
  <c r="M151" i="10"/>
  <c r="M150" i="10"/>
  <c r="M149" i="10"/>
  <c r="M148" i="10"/>
  <c r="M147" i="10"/>
  <c r="M146" i="10"/>
  <c r="M145" i="10"/>
  <c r="M144" i="10"/>
  <c r="M143" i="10"/>
  <c r="M142" i="10"/>
  <c r="M141" i="10"/>
  <c r="M140" i="10"/>
  <c r="M139" i="10"/>
  <c r="M138" i="10"/>
  <c r="M137" i="10"/>
  <c r="M136" i="10"/>
  <c r="M135" i="10"/>
  <c r="M134" i="10"/>
  <c r="M133" i="10"/>
  <c r="M132" i="10"/>
  <c r="M131" i="10"/>
  <c r="M130" i="10"/>
  <c r="M129" i="10"/>
  <c r="M128" i="10"/>
  <c r="M127" i="10"/>
  <c r="M126" i="10"/>
  <c r="M125" i="10"/>
  <c r="M124" i="10"/>
  <c r="M123" i="10"/>
  <c r="M122" i="10"/>
  <c r="M121" i="10"/>
  <c r="M120" i="10"/>
  <c r="M119" i="10"/>
  <c r="M118" i="10"/>
  <c r="M117" i="10"/>
  <c r="M116" i="10"/>
  <c r="M115" i="10"/>
  <c r="M114" i="10"/>
  <c r="M113" i="10"/>
  <c r="M112" i="10"/>
  <c r="M111" i="10"/>
  <c r="M110" i="10"/>
  <c r="M109" i="10"/>
  <c r="M108" i="10"/>
  <c r="M107" i="10"/>
  <c r="M106" i="10"/>
  <c r="M105" i="10"/>
  <c r="M104" i="10"/>
  <c r="M103" i="10"/>
  <c r="M102" i="10"/>
  <c r="M101" i="10"/>
  <c r="M100" i="10"/>
  <c r="M99" i="10"/>
  <c r="M98" i="10"/>
  <c r="M97" i="10"/>
  <c r="M96" i="10"/>
  <c r="M95" i="10"/>
  <c r="M94" i="10"/>
  <c r="M93" i="10"/>
  <c r="M92" i="10"/>
  <c r="M91" i="10"/>
  <c r="M90" i="10"/>
  <c r="M89" i="10"/>
  <c r="M88" i="10"/>
  <c r="M87" i="10"/>
  <c r="M86" i="10"/>
  <c r="M85" i="10"/>
  <c r="M84" i="10"/>
  <c r="M83" i="10"/>
  <c r="M82" i="10"/>
  <c r="M81" i="10"/>
  <c r="M80" i="10"/>
  <c r="M79" i="10"/>
  <c r="M78" i="10"/>
  <c r="M77" i="10"/>
  <c r="M76" i="10"/>
  <c r="M75" i="10"/>
  <c r="M74" i="10"/>
  <c r="M73" i="10"/>
  <c r="M72" i="10"/>
  <c r="M71" i="10"/>
  <c r="M70" i="10"/>
  <c r="M69" i="10"/>
  <c r="M68" i="10"/>
  <c r="M67" i="10"/>
  <c r="M66" i="10"/>
  <c r="M65" i="10"/>
  <c r="M64" i="10"/>
  <c r="M63" i="10"/>
  <c r="M62" i="10"/>
  <c r="M61" i="10"/>
  <c r="M60" i="10"/>
  <c r="M59" i="10"/>
  <c r="M58" i="10"/>
  <c r="M57" i="10"/>
  <c r="M56" i="10"/>
  <c r="M55" i="10"/>
  <c r="M54" i="10"/>
  <c r="M53" i="10"/>
  <c r="M52" i="10"/>
  <c r="M51" i="10"/>
  <c r="M50" i="10"/>
  <c r="M49" i="10"/>
  <c r="M48" i="10"/>
  <c r="M47" i="10"/>
  <c r="M46" i="10"/>
  <c r="M45" i="10"/>
  <c r="M44" i="10"/>
  <c r="M43" i="10"/>
  <c r="M42" i="10"/>
  <c r="M41" i="10"/>
  <c r="M40" i="10"/>
  <c r="M39" i="10"/>
  <c r="M38" i="10"/>
  <c r="M37" i="10"/>
  <c r="M36" i="10"/>
  <c r="M35" i="10"/>
  <c r="M34" i="10"/>
  <c r="M33" i="10"/>
  <c r="M32" i="10"/>
  <c r="M31" i="10"/>
  <c r="M30" i="10"/>
  <c r="M29" i="10"/>
  <c r="M28" i="10"/>
  <c r="M27" i="10"/>
  <c r="M26" i="10"/>
  <c r="M25" i="10"/>
  <c r="M24" i="10"/>
  <c r="M23" i="10"/>
  <c r="M22" i="10"/>
  <c r="M21" i="10"/>
  <c r="M20" i="10"/>
  <c r="M19" i="10"/>
  <c r="M18" i="10"/>
  <c r="M17" i="10"/>
  <c r="M16" i="10"/>
  <c r="M15" i="10"/>
  <c r="M14" i="10"/>
  <c r="M13" i="10"/>
  <c r="E9" i="2" l="1"/>
  <c r="AA9" i="2" s="1" a="1"/>
  <c r="AA9" i="2" s="1"/>
  <c r="A4"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H8" authorId="0" shapeId="0" xr:uid="{DF72F757-B37C-4581-AD0F-F6365C22ECB3}">
      <text>
        <r>
          <rPr>
            <sz val="10"/>
            <color indexed="81"/>
            <rFont val="MS P ゴシック"/>
            <family val="3"/>
            <charset val="128"/>
          </rPr>
          <t>会社コード：データダウンロード画面の「契約番号」およびご登録情報照会画面の「ご登録番号」に表示される5桁の英数字です。</t>
        </r>
        <r>
          <rPr>
            <sz val="9"/>
            <color indexed="81"/>
            <rFont val="MS P ゴシック"/>
            <family val="3"/>
            <charset val="128"/>
          </rPr>
          <t xml:space="preserve">
</t>
        </r>
      </text>
    </comment>
    <comment ref="J8" authorId="0" shapeId="0" xr:uid="{CB90BACD-48E9-492B-BD03-2130A4C87174}">
      <text>
        <r>
          <rPr>
            <b/>
            <sz val="10"/>
            <color indexed="81"/>
            <rFont val="MS P ゴシック"/>
            <family val="3"/>
            <charset val="128"/>
          </rPr>
          <t>一括希望：ビリングステーションのダウンロードファイルをまとめます。
請求書をまとめる指定ではありません</t>
        </r>
      </text>
    </comment>
    <comment ref="I10" authorId="0" shapeId="0" xr:uid="{E2028301-47C9-44C7-9100-2E33602506A2}">
      <text>
        <r>
          <rPr>
            <b/>
            <sz val="10"/>
            <color indexed="81"/>
            <rFont val="MS P ゴシック"/>
            <family val="3"/>
            <charset val="128"/>
          </rPr>
          <t>追加対象の既存コードを記載ください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H8" authorId="0" shapeId="0" xr:uid="{19DB2A06-417F-46AD-B182-9A73A2C8DFF3}">
      <text>
        <r>
          <rPr>
            <sz val="10"/>
            <color indexed="81"/>
            <rFont val="MS P ゴシック"/>
            <family val="3"/>
            <charset val="128"/>
          </rPr>
          <t>会社コード：データダウンロード画面の「契約番号」およびご登録情報照会画面の「ご登録番号」に表示される5桁の英数字です。</t>
        </r>
        <r>
          <rPr>
            <sz val="9"/>
            <color indexed="81"/>
            <rFont val="MS P ゴシック"/>
            <family val="3"/>
            <charset val="128"/>
          </rPr>
          <t xml:space="preserve">
</t>
        </r>
      </text>
    </comment>
    <comment ref="J8" authorId="0" shapeId="0" xr:uid="{A8B78AC9-BC06-49D0-AE4F-34F010EB925D}">
      <text>
        <r>
          <rPr>
            <b/>
            <sz val="10"/>
            <color indexed="81"/>
            <rFont val="MS P ゴシック"/>
            <family val="3"/>
            <charset val="128"/>
          </rPr>
          <t>一括希望：ビリングステーションのダウンロードファイルをまとめます。
請求書をまとめる指定ではありません</t>
        </r>
      </text>
    </comment>
    <comment ref="I10" authorId="0" shapeId="0" xr:uid="{262914C2-2CB7-4014-A481-6452F941F62D}">
      <text>
        <r>
          <rPr>
            <b/>
            <sz val="10"/>
            <color indexed="81"/>
            <rFont val="MS P ゴシック"/>
            <family val="3"/>
            <charset val="128"/>
          </rPr>
          <t>追加対象の既存コードを記載ください</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<sst xmlns="http://schemas.openxmlformats.org/spreadsheetml/2006/main" count="833" uniqueCount="220">
  <si>
    <t>■ご契約者情報</t>
    <rPh sb="2" eb="5">
      <t>ケイヤクシャ</t>
    </rPh>
    <rPh sb="5" eb="7">
      <t>ジョウホウ</t>
    </rPh>
    <phoneticPr fontId="1"/>
  </si>
  <si>
    <t>〒</t>
    <phoneticPr fontId="1"/>
  </si>
  <si>
    <t>ハイフンは不要です。</t>
    <rPh sb="5" eb="7">
      <t>フヨウ</t>
    </rPh>
    <phoneticPr fontId="1"/>
  </si>
  <si>
    <t>※ ご契約者連絡先</t>
    <rPh sb="3" eb="6">
      <t>ケイヤクシャ</t>
    </rPh>
    <rPh sb="6" eb="9">
      <t>レンラクサキ</t>
    </rPh>
    <phoneticPr fontId="1"/>
  </si>
  <si>
    <t>部署名</t>
    <rPh sb="0" eb="2">
      <t>ブショ</t>
    </rPh>
    <rPh sb="2" eb="3">
      <t>メイ</t>
    </rPh>
    <phoneticPr fontId="1"/>
  </si>
  <si>
    <t>■ビリングステーションご利用に必要な情報</t>
    <rPh sb="12" eb="14">
      <t>リヨウ</t>
    </rPh>
    <rPh sb="15" eb="17">
      <t>ヒツヨウ</t>
    </rPh>
    <rPh sb="18" eb="20">
      <t>ジョウホウ</t>
    </rPh>
    <phoneticPr fontId="1"/>
  </si>
  <si>
    <t>番号別明細内訳書
データ形式
（csv/固定長）</t>
    <rPh sb="12" eb="14">
      <t>ケイシキ</t>
    </rPh>
    <rPh sb="20" eb="23">
      <t>コテイチョウ</t>
    </rPh>
    <phoneticPr fontId="1"/>
  </si>
  <si>
    <t>Excel表示にはcsv形式を選択ください。
ご請求番号が数字11桁の専用線サービスをご利用のお客さまは固定長のみの提供になります。</t>
    <rPh sb="5" eb="7">
      <t>ヒョウジ</t>
    </rPh>
    <rPh sb="12" eb="14">
      <t>ケイシキ</t>
    </rPh>
    <rPh sb="15" eb="17">
      <t>センタク</t>
    </rPh>
    <rPh sb="24" eb="26">
      <t>セイキュウ</t>
    </rPh>
    <rPh sb="26" eb="28">
      <t>バンゴウ</t>
    </rPh>
    <rPh sb="29" eb="31">
      <t>スウジ</t>
    </rPh>
    <rPh sb="33" eb="34">
      <t>ケタ</t>
    </rPh>
    <rPh sb="35" eb="38">
      <t>センヨウセン</t>
    </rPh>
    <rPh sb="44" eb="46">
      <t>リヨウ</t>
    </rPh>
    <rPh sb="48" eb="49">
      <t>キャク</t>
    </rPh>
    <rPh sb="52" eb="55">
      <t>コテイチョウ</t>
    </rPh>
    <rPh sb="58" eb="60">
      <t>テイキョウ</t>
    </rPh>
    <phoneticPr fontId="1"/>
  </si>
  <si>
    <t>■以下はご記入不要です</t>
    <rPh sb="1" eb="3">
      <t>イカ</t>
    </rPh>
    <rPh sb="5" eb="7">
      <t>キニュウ</t>
    </rPh>
    <rPh sb="7" eb="9">
      <t>フヨウ</t>
    </rPh>
    <phoneticPr fontId="1"/>
  </si>
  <si>
    <t>弊社記入欄</t>
    <rPh sb="0" eb="2">
      <t>ヘイシャ</t>
    </rPh>
    <rPh sb="2" eb="4">
      <t>キニュウ</t>
    </rPh>
    <rPh sb="4" eb="5">
      <t>ラン</t>
    </rPh>
    <phoneticPr fontId="1"/>
  </si>
  <si>
    <r>
      <t>B</t>
    </r>
    <r>
      <rPr>
        <sz val="11"/>
        <rFont val="ＭＳ Ｐゴシック"/>
        <family val="3"/>
        <charset val="128"/>
      </rPr>
      <t>Sお客様番号</t>
    </r>
    <rPh sb="3" eb="5">
      <t>キャクサマ</t>
    </rPh>
    <rPh sb="5" eb="7">
      <t>バンゴウ</t>
    </rPh>
    <phoneticPr fontId="1"/>
  </si>
  <si>
    <t>備考</t>
    <phoneticPr fontId="1"/>
  </si>
  <si>
    <t>販売担当者</t>
    <rPh sb="0" eb="2">
      <t>ハンバイ</t>
    </rPh>
    <rPh sb="2" eb="5">
      <t>タントウシャ</t>
    </rPh>
    <phoneticPr fontId="1"/>
  </si>
  <si>
    <t>販売担当者　部署名</t>
    <phoneticPr fontId="1"/>
  </si>
  <si>
    <t>販売担当者　担当者名</t>
    <phoneticPr fontId="1"/>
  </si>
  <si>
    <t>販売担当者　電話番号</t>
    <phoneticPr fontId="1"/>
  </si>
  <si>
    <t>販売担当者　メールアドレス</t>
    <phoneticPr fontId="1"/>
  </si>
  <si>
    <t>applicationArrivalDate</t>
    <phoneticPr fontId="1"/>
  </si>
  <si>
    <t>contractCustomerNameKana</t>
    <phoneticPr fontId="1"/>
  </si>
  <si>
    <t>contractCustomerName</t>
    <phoneticPr fontId="1"/>
  </si>
  <si>
    <t>contractCustomerPostalNumber</t>
    <phoneticPr fontId="1"/>
  </si>
  <si>
    <t>contractCustomerAddress</t>
    <phoneticPr fontId="1"/>
  </si>
  <si>
    <t>billingStationPhoneNumber</t>
    <phoneticPr fontId="1"/>
  </si>
  <si>
    <t>billingStationDeptNameKana</t>
  </si>
  <si>
    <t>billingStationDeptName</t>
    <phoneticPr fontId="1"/>
  </si>
  <si>
    <t>billingStationPersonKana</t>
    <phoneticPr fontId="1"/>
  </si>
  <si>
    <t>billingStationPerson</t>
  </si>
  <si>
    <t>billingStationCustomerNumber</t>
    <phoneticPr fontId="1"/>
  </si>
  <si>
    <t>comment</t>
  </si>
  <si>
    <t>salesChannelDeptName</t>
  </si>
  <si>
    <t>salesChannelPersonName</t>
  </si>
  <si>
    <t>salesChannelPhoneNumber</t>
  </si>
  <si>
    <t>salesChannelMailAddress</t>
  </si>
  <si>
    <t>ご契約者連絡先　電話番号</t>
  </si>
  <si>
    <t>備考</t>
  </si>
  <si>
    <t>販売担当者　部署名</t>
  </si>
  <si>
    <t>販売担当者　担当者名</t>
  </si>
  <si>
    <t>販売担当者　電話番号</t>
  </si>
  <si>
    <t>販売担当者　メールアドレス</t>
  </si>
  <si>
    <t>番号別明細内訳書
データ形式</t>
    <phoneticPr fontId="1"/>
  </si>
  <si>
    <t>csv</t>
    <phoneticPr fontId="1"/>
  </si>
  <si>
    <t>固定長</t>
    <rPh sb="0" eb="3">
      <t>コテイチョウ</t>
    </rPh>
    <phoneticPr fontId="1"/>
  </si>
  <si>
    <t>一括希望</t>
  </si>
  <si>
    <t>一括希望する</t>
    <phoneticPr fontId="1"/>
  </si>
  <si>
    <t>一括希望しない</t>
    <rPh sb="0" eb="2">
      <t>イッカツ</t>
    </rPh>
    <rPh sb="2" eb="4">
      <t>キボウ</t>
    </rPh>
    <phoneticPr fontId="1"/>
  </si>
  <si>
    <t>ご利用のビリングステーションBSお客様番号「BS＋7桁」をご記入ください。</t>
  </si>
  <si>
    <t>BS</t>
    <phoneticPr fontId="1"/>
  </si>
  <si>
    <t>契約者名変更</t>
    <rPh sb="0" eb="2">
      <t>ケイヤク</t>
    </rPh>
    <rPh sb="2" eb="3">
      <t>シャ</t>
    </rPh>
    <rPh sb="3" eb="4">
      <t>メイ</t>
    </rPh>
    <rPh sb="4" eb="6">
      <t>ヘンコウ</t>
    </rPh>
    <phoneticPr fontId="1"/>
  </si>
  <si>
    <t>ビリングステーション契約者名に変更がある場合は「契約名変更」欄にチェックをお願いします（注１）</t>
    <rPh sb="44" eb="45">
      <t>チュウ</t>
    </rPh>
    <phoneticPr fontId="1"/>
  </si>
  <si>
    <t>契約名変更チェック</t>
    <rPh sb="0" eb="2">
      <t>ケイヤク</t>
    </rPh>
    <rPh sb="2" eb="3">
      <t>メイ</t>
    </rPh>
    <rPh sb="3" eb="5">
      <t>ヘンコウ</t>
    </rPh>
    <phoneticPr fontId="1"/>
  </si>
  <si>
    <t>✓</t>
    <phoneticPr fontId="1"/>
  </si>
  <si>
    <t>変更しない</t>
    <rPh sb="0" eb="2">
      <t>ヘンコウ</t>
    </rPh>
    <phoneticPr fontId="1"/>
  </si>
  <si>
    <t>ご契約名義変更フラグ</t>
    <phoneticPr fontId="1"/>
  </si>
  <si>
    <t>meigiHenkou</t>
    <phoneticPr fontId="1"/>
  </si>
  <si>
    <t>BSお客様番号</t>
    <phoneticPr fontId="1"/>
  </si>
  <si>
    <t>ver.</t>
    <phoneticPr fontId="1"/>
  </si>
  <si>
    <t>申込書バージョン</t>
    <rPh sb="0" eb="3">
      <t>モウシコミショ</t>
    </rPh>
    <phoneticPr fontId="1"/>
  </si>
  <si>
    <t>バージョン</t>
    <phoneticPr fontId="1"/>
  </si>
  <si>
    <t>ファイル名</t>
  </si>
  <si>
    <t>お申込年月日</t>
  </si>
  <si>
    <t>ご契約者名（会社名）フリガナ</t>
  </si>
  <si>
    <t>ご契約者名（会社名）</t>
  </si>
  <si>
    <t>郵便番号</t>
  </si>
  <si>
    <t>ご契約者連絡先　部署名フリガナ</t>
  </si>
  <si>
    <t>ご契約者連絡先　部署名</t>
  </si>
  <si>
    <t>ご契約者連絡先　担当者名フリガナ</t>
  </si>
  <si>
    <t>ご契約者連絡先　担当者名</t>
  </si>
  <si>
    <t>頭にBSをつける</t>
    <phoneticPr fontId="1"/>
  </si>
  <si>
    <t>申込区分</t>
    <rPh sb="0" eb="2">
      <t>モウシコミ</t>
    </rPh>
    <rPh sb="2" eb="4">
      <t>クブン</t>
    </rPh>
    <phoneticPr fontId="1"/>
  </si>
  <si>
    <t>追加</t>
    <rPh sb="0" eb="2">
      <t>ツイカ</t>
    </rPh>
    <phoneticPr fontId="1"/>
  </si>
  <si>
    <t>削除</t>
    <rPh sb="0" eb="2">
      <t>サクジョ</t>
    </rPh>
    <phoneticPr fontId="1"/>
  </si>
  <si>
    <t>名称</t>
    <rPh sb="0" eb="2">
      <t>メイショウ</t>
    </rPh>
    <phoneticPr fontId="1"/>
  </si>
  <si>
    <t>様式</t>
    <rPh sb="0" eb="2">
      <t>ヨウシキ</t>
    </rPh>
    <phoneticPr fontId="1"/>
  </si>
  <si>
    <t>contractCustomerAddress2</t>
    <phoneticPr fontId="1"/>
  </si>
  <si>
    <t>ご契約者住所</t>
    <phoneticPr fontId="1"/>
  </si>
  <si>
    <t>ご契約者住所2</t>
    <phoneticPr fontId="1"/>
  </si>
  <si>
    <t>住所は都道府県から全てご記入ください。</t>
    <rPh sb="0" eb="2">
      <t>ジュウショ</t>
    </rPh>
    <rPh sb="3" eb="7">
      <t>トドウフケン</t>
    </rPh>
    <rPh sb="9" eb="10">
      <t>スベ</t>
    </rPh>
    <rPh sb="12" eb="14">
      <t>キニュウ</t>
    </rPh>
    <phoneticPr fontId="1"/>
  </si>
  <si>
    <t>ビル・マンション名等漏れなくご記入ください。</t>
    <rPh sb="8" eb="9">
      <t>メイ</t>
    </rPh>
    <rPh sb="9" eb="10">
      <t>ナド</t>
    </rPh>
    <rPh sb="10" eb="11">
      <t>モ</t>
    </rPh>
    <rPh sb="15" eb="17">
      <t>キニュウ</t>
    </rPh>
    <phoneticPr fontId="1"/>
  </si>
  <si>
    <t>メールアドレス</t>
    <phoneticPr fontId="1"/>
  </si>
  <si>
    <t>認証キー</t>
    <phoneticPr fontId="1"/>
  </si>
  <si>
    <t>billingStationCustomerMailAddress</t>
    <phoneticPr fontId="1"/>
  </si>
  <si>
    <t>billingStationAuthKey</t>
    <phoneticPr fontId="1"/>
  </si>
  <si>
    <t>別紙：　対象のご請求番号一覧（番号別明細内訳書)</t>
    <phoneticPr fontId="19"/>
  </si>
  <si>
    <t>フラグ</t>
    <phoneticPr fontId="1"/>
  </si>
  <si>
    <t>項番</t>
  </si>
  <si>
    <t>請求種別
（必須）</t>
    <rPh sb="0" eb="4">
      <t>セイキュウシュベツ</t>
    </rPh>
    <rPh sb="6" eb="8">
      <t>ヒッス</t>
    </rPh>
    <phoneticPr fontId="19"/>
  </si>
  <si>
    <t>選択項目</t>
    <rPh sb="0" eb="2">
      <t>センタク</t>
    </rPh>
    <rPh sb="2" eb="4">
      <t>コウモク</t>
    </rPh>
    <phoneticPr fontId="19"/>
  </si>
  <si>
    <t>1／2／3</t>
    <phoneticPr fontId="19"/>
  </si>
  <si>
    <t>例１</t>
    <rPh sb="0" eb="1">
      <t>レイ</t>
    </rPh>
    <phoneticPr fontId="1"/>
  </si>
  <si>
    <t>1234123123</t>
    <phoneticPr fontId="1"/>
  </si>
  <si>
    <t>例２</t>
    <rPh sb="0" eb="1">
      <t>レイ</t>
    </rPh>
    <phoneticPr fontId="1"/>
  </si>
  <si>
    <t>R123456789</t>
    <phoneticPr fontId="1"/>
  </si>
  <si>
    <t>なし</t>
  </si>
  <si>
    <t>例３</t>
    <rPh sb="0" eb="1">
      <t>レイ</t>
    </rPh>
    <phoneticPr fontId="1"/>
  </si>
  <si>
    <t>希望する</t>
  </si>
  <si>
    <t>申込区分</t>
    <phoneticPr fontId="19"/>
  </si>
  <si>
    <t>追加／削除</t>
    <rPh sb="3" eb="5">
      <t>サクジョ</t>
    </rPh>
    <phoneticPr fontId="19"/>
  </si>
  <si>
    <t>用途</t>
    <rPh sb="0" eb="2">
      <t>ヨウト</t>
    </rPh>
    <phoneticPr fontId="1"/>
  </si>
  <si>
    <t>お客様向け/社内向け</t>
    <rPh sb="1" eb="3">
      <t>キャクサマ</t>
    </rPh>
    <rPh sb="3" eb="4">
      <t>ム</t>
    </rPh>
    <rPh sb="6" eb="8">
      <t>シャナイ</t>
    </rPh>
    <rPh sb="8" eb="9">
      <t>ム</t>
    </rPh>
    <phoneticPr fontId="1"/>
  </si>
  <si>
    <t>3…数字7桁-5桁の専用線サービスお客さま番号　ハイフン（「－」）は無しで記載ください</t>
    <rPh sb="8" eb="9">
      <t>ケタ</t>
    </rPh>
    <rPh sb="18" eb="19">
      <t>キャク</t>
    </rPh>
    <rPh sb="21" eb="23">
      <t>バンゴウ</t>
    </rPh>
    <rPh sb="34" eb="35">
      <t>ナ</t>
    </rPh>
    <rPh sb="37" eb="39">
      <t>キサイ</t>
    </rPh>
    <phoneticPr fontId="19"/>
  </si>
  <si>
    <t>フリガナ（全角カタカナ）</t>
  </si>
  <si>
    <t>建物名、部屋番号</t>
    <phoneticPr fontId="1"/>
  </si>
  <si>
    <t>※ 
ご契約者住所</t>
    <rPh sb="4" eb="6">
      <t>ケイヤク</t>
    </rPh>
    <rPh sb="6" eb="7">
      <t>モノ</t>
    </rPh>
    <rPh sb="7" eb="9">
      <t>ジュウショ</t>
    </rPh>
    <phoneticPr fontId="1"/>
  </si>
  <si>
    <t xml:space="preserve">※ ご契約者名（会社名）
</t>
    <rPh sb="3" eb="6">
      <t>ケイヤクシャ</t>
    </rPh>
    <rPh sb="6" eb="7">
      <t>メイ</t>
    </rPh>
    <rPh sb="8" eb="11">
      <t>カイシャメイ</t>
    </rPh>
    <phoneticPr fontId="1"/>
  </si>
  <si>
    <t>123456712345</t>
    <phoneticPr fontId="1"/>
  </si>
  <si>
    <t>既存コードに追加</t>
  </si>
  <si>
    <t>追加</t>
  </si>
  <si>
    <t xml:space="preserve">        お申込年月日</t>
    <phoneticPr fontId="1"/>
  </si>
  <si>
    <t>請求番号も契約番号も空白ならfalseでとらない（非表示行）</t>
    <rPh sb="0" eb="2">
      <t>セイキュウ</t>
    </rPh>
    <rPh sb="2" eb="4">
      <t>バンゴウ</t>
    </rPh>
    <rPh sb="5" eb="7">
      <t>ケイヤク</t>
    </rPh>
    <rPh sb="7" eb="9">
      <t>バンゴウ</t>
    </rPh>
    <rPh sb="10" eb="12">
      <t>クウハク</t>
    </rPh>
    <rPh sb="25" eb="28">
      <t>ヒヒョウジ</t>
    </rPh>
    <rPh sb="28" eb="29">
      <t>ギョウ</t>
    </rPh>
    <phoneticPr fontId="1"/>
  </si>
  <si>
    <t>ご使用データ形式（新規）</t>
    <phoneticPr fontId="1"/>
  </si>
  <si>
    <t>テキカクツイカカブシキガイシャ</t>
    <phoneticPr fontId="1"/>
  </si>
  <si>
    <t>適格追加株式会社</t>
    <phoneticPr fontId="1"/>
  </si>
  <si>
    <t>0040001</t>
    <phoneticPr fontId="1"/>
  </si>
  <si>
    <t>東京都千代田区大手町２－３－１</t>
    <phoneticPr fontId="1"/>
  </si>
  <si>
    <t>大手町プレイス１F</t>
    <phoneticPr fontId="1"/>
  </si>
  <si>
    <t>05011112222</t>
    <phoneticPr fontId="1"/>
  </si>
  <si>
    <t>ザイムブ</t>
    <phoneticPr fontId="1"/>
  </si>
  <si>
    <t>財務部</t>
    <phoneticPr fontId="1"/>
  </si>
  <si>
    <t>テキカクフジコ</t>
    <phoneticPr fontId="1"/>
  </si>
  <si>
    <t>適格藤子</t>
    <phoneticPr fontId="1"/>
  </si>
  <si>
    <t>csv</t>
  </si>
  <si>
    <t>新規払い出し</t>
  </si>
  <si>
    <t>123456754321</t>
    <phoneticPr fontId="1"/>
  </si>
  <si>
    <t>スタンダードプラン</t>
  </si>
  <si>
    <t>スタンダードプランご加入の場合、基本サービスとして請求内訳は13ヶ月分、通話履歴は4ヶ月分のデータ保存が可能です。
ダウンロードプランご加入の場合、集計分析機能はご利用いただけません。</t>
    <phoneticPr fontId="1"/>
  </si>
  <si>
    <t>※ 郵便番号（ハイフン不要）</t>
    <rPh sb="2" eb="6">
      <t>ユウビンバンゴウ</t>
    </rPh>
    <rPh sb="11" eb="13">
      <t>フヨウ</t>
    </rPh>
    <phoneticPr fontId="1"/>
  </si>
  <si>
    <t>ハイフンは不要です。数字のみ記入ください</t>
    <rPh sb="5" eb="7">
      <t>フヨウ</t>
    </rPh>
    <rPh sb="10" eb="12">
      <t>スウジ</t>
    </rPh>
    <rPh sb="14" eb="16">
      <t>キニュウ</t>
    </rPh>
    <phoneticPr fontId="1"/>
  </si>
  <si>
    <t>ハイフンは不要です。数字のみ記入ください</t>
    <phoneticPr fontId="1"/>
  </si>
  <si>
    <t>申込区分</t>
  </si>
  <si>
    <t>請求種別</t>
  </si>
  <si>
    <t>ご請求番号</t>
  </si>
  <si>
    <t>請求番号ハイフンなし</t>
  </si>
  <si>
    <t>ご契約番号</t>
  </si>
  <si>
    <t>会社コード有無</t>
  </si>
  <si>
    <t>対象会社コード</t>
  </si>
  <si>
    <t>一括フラグ（ACCEL）</t>
  </si>
  <si>
    <t>分割有無</t>
  </si>
  <si>
    <t>分割番号（BELUGA）</t>
  </si>
  <si>
    <t>取得要否</t>
  </si>
  <si>
    <t>不明の場合「なし」</t>
    <phoneticPr fontId="19"/>
  </si>
  <si>
    <t>ご請求番号形式に誤りがある場合コメントを表示します</t>
    <rPh sb="1" eb="3">
      <t>セイキュウ</t>
    </rPh>
    <rPh sb="3" eb="5">
      <t>バンゴウ</t>
    </rPh>
    <rPh sb="5" eb="7">
      <t>ケイシキ</t>
    </rPh>
    <rPh sb="8" eb="9">
      <t>アヤマ</t>
    </rPh>
    <rPh sb="13" eb="15">
      <t>バアイ</t>
    </rPh>
    <rPh sb="20" eb="22">
      <t>ヒョウジ</t>
    </rPh>
    <phoneticPr fontId="1"/>
  </si>
  <si>
    <t>赤背景の場合ご請求番号を確認ください</t>
    <rPh sb="0" eb="1">
      <t>アカ</t>
    </rPh>
    <rPh sb="1" eb="3">
      <t>ハイケイ</t>
    </rPh>
    <rPh sb="4" eb="6">
      <t>バアイ</t>
    </rPh>
    <rPh sb="7" eb="9">
      <t>セイキュウ</t>
    </rPh>
    <rPh sb="9" eb="11">
      <t>バンゴウ</t>
    </rPh>
    <rPh sb="12" eb="14">
      <t>カクニン</t>
    </rPh>
    <phoneticPr fontId="1"/>
  </si>
  <si>
    <t>請求種別
（非表示）</t>
    <rPh sb="0" eb="4">
      <t>セイキュウシュベツ</t>
    </rPh>
    <rPh sb="6" eb="9">
      <t>ヒヒョウジ</t>
    </rPh>
    <phoneticPr fontId="19"/>
  </si>
  <si>
    <t>希望しない</t>
  </si>
  <si>
    <t>ご請求番号
（ハイフン不要）</t>
    <rPh sb="11" eb="13">
      <t>フヨウ</t>
    </rPh>
    <phoneticPr fontId="19"/>
  </si>
  <si>
    <r>
      <t xml:space="preserve">ご契約番号
</t>
    </r>
    <r>
      <rPr>
        <sz val="9"/>
        <rFont val="メイリオ"/>
        <family val="3"/>
        <charset val="128"/>
      </rPr>
      <t>（ご請求番号がご不明な場合のみ）</t>
    </r>
    <phoneticPr fontId="19"/>
  </si>
  <si>
    <t>不明の場合「新規払い出し」
追加の場合は追加したい会社コード（5桁）を記載</t>
    <rPh sb="0" eb="2">
      <t>フメイ</t>
    </rPh>
    <rPh sb="3" eb="5">
      <t>バアイ</t>
    </rPh>
    <rPh sb="14" eb="16">
      <t>ツイカ</t>
    </rPh>
    <rPh sb="17" eb="19">
      <t>バアイ</t>
    </rPh>
    <rPh sb="20" eb="22">
      <t>ツイカ</t>
    </rPh>
    <rPh sb="25" eb="27">
      <t>カイシャ</t>
    </rPh>
    <rPh sb="32" eb="33">
      <t>ケタ</t>
    </rPh>
    <rPh sb="35" eb="37">
      <t>キサイ</t>
    </rPh>
    <phoneticPr fontId="19"/>
  </si>
  <si>
    <r>
      <t xml:space="preserve">一括希望
</t>
    </r>
    <r>
      <rPr>
        <sz val="10"/>
        <rFont val="メイリオ"/>
        <family val="3"/>
        <charset val="128"/>
      </rPr>
      <t>※「数字4桁-3桁-3桁のご請求番号」の場合のみ</t>
    </r>
    <rPh sb="0" eb="2">
      <t>イッカツ</t>
    </rPh>
    <rPh sb="2" eb="4">
      <t>キボウ</t>
    </rPh>
    <phoneticPr fontId="19"/>
  </si>
  <si>
    <t>csvデータダウンロードファイルをまとめる
不明の場合「希望しない」</t>
    <phoneticPr fontId="19"/>
  </si>
  <si>
    <t>分割番号
（なしの場合記載不要）</t>
    <rPh sb="0" eb="2">
      <t>ブンカツ</t>
    </rPh>
    <rPh sb="2" eb="4">
      <t>バンゴウ</t>
    </rPh>
    <rPh sb="9" eb="11">
      <t>バアイ</t>
    </rPh>
    <rPh sb="11" eb="13">
      <t>キサイ</t>
    </rPh>
    <rPh sb="13" eb="15">
      <t>フヨウ</t>
    </rPh>
    <phoneticPr fontId="1"/>
  </si>
  <si>
    <r>
      <t>会社コード</t>
    </r>
    <r>
      <rPr>
        <sz val="10"/>
        <rFont val="メイリオ"/>
        <family val="3"/>
        <charset val="128"/>
      </rPr>
      <t>(5桁）</t>
    </r>
    <r>
      <rPr>
        <sz val="14"/>
        <rFont val="メイリオ"/>
        <family val="3"/>
        <charset val="128"/>
      </rPr>
      <t xml:space="preserve">
</t>
    </r>
    <r>
      <rPr>
        <sz val="10"/>
        <rFont val="メイリオ"/>
        <family val="3"/>
        <charset val="128"/>
      </rPr>
      <t>※「数字4桁-3桁-3桁のご請求番号」の場合のみ</t>
    </r>
    <rPh sb="7" eb="8">
      <t>ケタ</t>
    </rPh>
    <phoneticPr fontId="19"/>
  </si>
  <si>
    <r>
      <t xml:space="preserve">分割番号
</t>
    </r>
    <r>
      <rPr>
        <sz val="10"/>
        <color rgb="FF000000"/>
        <rFont val="メイリオ"/>
        <family val="3"/>
        <charset val="128"/>
      </rPr>
      <t xml:space="preserve">※「Rから始まるご請求番号」の場合のみ
</t>
    </r>
    <rPh sb="10" eb="11">
      <t>ハジ</t>
    </rPh>
    <rPh sb="14" eb="16">
      <t>セイキュウ</t>
    </rPh>
    <rPh sb="16" eb="18">
      <t>バンゴウ</t>
    </rPh>
    <rPh sb="20" eb="22">
      <t>バアイ</t>
    </rPh>
    <phoneticPr fontId="19"/>
  </si>
  <si>
    <t>白背景部分を記入ください。
ご請求番号は以下の３つのいずれかの形式になります。オレンジ網掛けになる場合は形式エラーです。ご確認ください。</t>
    <rPh sb="0" eb="1">
      <t>シロ</t>
    </rPh>
    <rPh sb="1" eb="3">
      <t>ハイケイ</t>
    </rPh>
    <rPh sb="3" eb="5">
      <t>ブブン</t>
    </rPh>
    <rPh sb="6" eb="8">
      <t>キニュウ</t>
    </rPh>
    <rPh sb="15" eb="19">
      <t>セイキュウバンゴウ</t>
    </rPh>
    <rPh sb="20" eb="22">
      <t>イカ</t>
    </rPh>
    <rPh sb="31" eb="33">
      <t>ケイシキ</t>
    </rPh>
    <rPh sb="43" eb="45">
      <t>アミカ</t>
    </rPh>
    <rPh sb="49" eb="51">
      <t>バアイ</t>
    </rPh>
    <rPh sb="52" eb="54">
      <t>ケイシキ</t>
    </rPh>
    <rPh sb="61" eb="63">
      <t>カクニン</t>
    </rPh>
    <phoneticPr fontId="19"/>
  </si>
  <si>
    <t>0987654321</t>
    <phoneticPr fontId="1"/>
  </si>
  <si>
    <t>R700111222</t>
    <phoneticPr fontId="1"/>
  </si>
  <si>
    <t>098765412345</t>
    <phoneticPr fontId="1"/>
  </si>
  <si>
    <t>R111222333</t>
    <phoneticPr fontId="1"/>
  </si>
  <si>
    <t>西暦　年/月/日の順でご記入ください
（例）2023/7/25</t>
    <rPh sb="0" eb="2">
      <t>セイレキ</t>
    </rPh>
    <rPh sb="3" eb="4">
      <t>ネン</t>
    </rPh>
    <rPh sb="5" eb="6">
      <t>ガツ</t>
    </rPh>
    <rPh sb="7" eb="8">
      <t>ヒ</t>
    </rPh>
    <rPh sb="9" eb="10">
      <t>ジュン</t>
    </rPh>
    <rPh sb="12" eb="14">
      <t>キニュウ</t>
    </rPh>
    <rPh sb="20" eb="21">
      <t>レイ</t>
    </rPh>
    <phoneticPr fontId="1"/>
  </si>
  <si>
    <t>ご利用データ形式（変更）</t>
    <phoneticPr fontId="1"/>
  </si>
  <si>
    <t>新規と媒体はこちらだけ入る</t>
    <rPh sb="0" eb="2">
      <t>シンキ</t>
    </rPh>
    <rPh sb="3" eb="5">
      <t>バイタイ</t>
    </rPh>
    <rPh sb="11" eb="12">
      <t>ハイ</t>
    </rPh>
    <phoneticPr fontId="1"/>
  </si>
  <si>
    <t>変更はこちらだけ入る</t>
    <rPh sb="0" eb="2">
      <t>ヘンコウ</t>
    </rPh>
    <rPh sb="8" eb="9">
      <t>ハイ</t>
    </rPh>
    <phoneticPr fontId="1"/>
  </si>
  <si>
    <t>申込プラン</t>
    <rPh sb="0" eb="2">
      <t>モウシコミ</t>
    </rPh>
    <phoneticPr fontId="1"/>
  </si>
  <si>
    <t>billingStationPlan
新規はスタンダード固定</t>
    <rPh sb="19" eb="21">
      <t>シンキ</t>
    </rPh>
    <rPh sb="28" eb="30">
      <t>コテイ</t>
    </rPh>
    <phoneticPr fontId="1"/>
  </si>
  <si>
    <t>番号別明細内訳書
データ形式
（csv/固定長）</t>
    <phoneticPr fontId="1"/>
  </si>
  <si>
    <t>ハイフンぬき、大文字にする</t>
    <rPh sb="7" eb="10">
      <t>オオモジ</t>
    </rPh>
    <phoneticPr fontId="1"/>
  </si>
  <si>
    <t xml:space="preserve">        お申込年月日（年/月/日）</t>
    <rPh sb="9" eb="10">
      <t>モウ</t>
    </rPh>
    <rPh sb="10" eb="11">
      <t>コ</t>
    </rPh>
    <rPh sb="11" eb="14">
      <t>ネンガッピ</t>
    </rPh>
    <rPh sb="15" eb="16">
      <t>ネン</t>
    </rPh>
    <rPh sb="17" eb="18">
      <t>ガツ</t>
    </rPh>
    <rPh sb="19" eb="20">
      <t>ヒ</t>
    </rPh>
    <phoneticPr fontId="1"/>
  </si>
  <si>
    <t>※ お申込プラン
（スタンダードプラン/ダウンロードプラン）</t>
    <phoneticPr fontId="1"/>
  </si>
  <si>
    <t>YYYY/MM/DD
空欄の場合NULL</t>
  </si>
  <si>
    <t>全角カナ80文字以内</t>
  </si>
  <si>
    <t>全角40文字以内</t>
  </si>
  <si>
    <t>新規は０固定↓</t>
    <rPh sb="0" eb="2">
      <t>シンキ</t>
    </rPh>
    <rPh sb="4" eb="6">
      <t>コテイ</t>
    </rPh>
    <phoneticPr fontId="1"/>
  </si>
  <si>
    <t>半角数字7桁</t>
  </si>
  <si>
    <t>全角128文字以内</t>
  </si>
  <si>
    <t>全角40文字以内
空欄の場合NULL</t>
  </si>
  <si>
    <t>半角数字10文字以上11文字以内</t>
  </si>
  <si>
    <t>全角カナ80文字以内
空欄の場合NULL</t>
  </si>
  <si>
    <t>全角50文字以内
空欄の場合NULL</t>
  </si>
  <si>
    <t>全角カナ40文字以内
空欄の場合NULL</t>
  </si>
  <si>
    <t>全角20文字以内
空欄の場合NULL</t>
  </si>
  <si>
    <t>半角255文字以内
変更の場合NULL</t>
  </si>
  <si>
    <t>半角英数字6桁
変更の場合NULL</t>
  </si>
  <si>
    <t>csv/固定長
新規かつ空欄の場合csv
変更の場合NULL</t>
  </si>
  <si>
    <t>新規はNull固定</t>
    <rPh sb="0" eb="2">
      <t>シンキ</t>
    </rPh>
    <rPh sb="7" eb="9">
      <t>コテイ</t>
    </rPh>
    <phoneticPr fontId="1"/>
  </si>
  <si>
    <t>スタンダード/ダウンロード
新規の場合スタンダード
変更かつ未選択の場合スタンダード</t>
  </si>
  <si>
    <t>初期値Null</t>
    <rPh sb="0" eb="3">
      <t>ショキチ</t>
    </rPh>
    <phoneticPr fontId="1"/>
  </si>
  <si>
    <t>「&amp;""」はつけない。Nullはダメ</t>
    <phoneticPr fontId="1"/>
  </si>
  <si>
    <t>1…数字4桁-3桁-3桁のご請求番号　※ハイフン（「－」）は無しで記載ください。（ACCEL請求）「B」は不要です</t>
    <rPh sb="46" eb="48">
      <t>セイキュウ</t>
    </rPh>
    <rPh sb="53" eb="55">
      <t>フヨウ</t>
    </rPh>
    <phoneticPr fontId="19"/>
  </si>
  <si>
    <t>※フリガナ（全角カタカナ）</t>
    <phoneticPr fontId="1"/>
  </si>
  <si>
    <t>※住所（番地号まで）</t>
    <phoneticPr fontId="1"/>
  </si>
  <si>
    <t>※電話番号（ハイフン不要）</t>
    <rPh sb="1" eb="3">
      <t>デンワ</t>
    </rPh>
    <rPh sb="3" eb="5">
      <t>バンゴウ</t>
    </rPh>
    <rPh sb="10" eb="12">
      <t>フヨウ</t>
    </rPh>
    <phoneticPr fontId="1"/>
  </si>
  <si>
    <t>※ご担当者名</t>
    <rPh sb="2" eb="5">
      <t>タントウシャ</t>
    </rPh>
    <rPh sb="5" eb="6">
      <t>メイ</t>
    </rPh>
    <phoneticPr fontId="1"/>
  </si>
  <si>
    <r>
      <t>2…Rから始まるご請求番号　</t>
    </r>
    <r>
      <rPr>
        <sz val="12"/>
        <color rgb="FFFF0000"/>
        <rFont val="メイリオ"/>
        <family val="3"/>
        <charset val="128"/>
      </rPr>
      <t>※Zから始まる番号は申請エラーになるので記載しないでください。</t>
    </r>
    <rPh sb="18" eb="19">
      <t>ハジ</t>
    </rPh>
    <rPh sb="21" eb="23">
      <t>バンゴウ</t>
    </rPh>
    <rPh sb="24" eb="26">
      <t>シンセイ</t>
    </rPh>
    <rPh sb="34" eb="36">
      <t>キサイ</t>
    </rPh>
    <phoneticPr fontId="19"/>
  </si>
  <si>
    <t>※ 付替先BSお客様番号（変更後)</t>
    <rPh sb="2" eb="4">
      <t>ツケカエ</t>
    </rPh>
    <rPh sb="4" eb="5">
      <t>サキ</t>
    </rPh>
    <rPh sb="13" eb="15">
      <t>ヘンコウ</t>
    </rPh>
    <rPh sb="15" eb="16">
      <t>ゴ</t>
    </rPh>
    <phoneticPr fontId="1"/>
  </si>
  <si>
    <t>※ 現在のBSお客様番号（変更前）</t>
    <rPh sb="2" eb="4">
      <t>ゲンザイ</t>
    </rPh>
    <rPh sb="13" eb="15">
      <t>ヘンコウ</t>
    </rPh>
    <rPh sb="15" eb="16">
      <t>マエ</t>
    </rPh>
    <phoneticPr fontId="1"/>
  </si>
  <si>
    <t>変更前BSお客様番号処理</t>
    <rPh sb="0" eb="2">
      <t>ヘンコウ</t>
    </rPh>
    <rPh sb="2" eb="3">
      <t>マエ</t>
    </rPh>
    <rPh sb="6" eb="8">
      <t>キャクサマ</t>
    </rPh>
    <rPh sb="8" eb="10">
      <t>バンゴウ</t>
    </rPh>
    <rPh sb="10" eb="12">
      <t>ショリ</t>
    </rPh>
    <phoneticPr fontId="1"/>
  </si>
  <si>
    <t>変更後BSお客様番号処理</t>
    <rPh sb="0" eb="2">
      <t>ヘンコウ</t>
    </rPh>
    <rPh sb="2" eb="3">
      <t>ゴ</t>
    </rPh>
    <rPh sb="6" eb="8">
      <t>キャクサマ</t>
    </rPh>
    <rPh sb="8" eb="10">
      <t>バンゴウ</t>
    </rPh>
    <rPh sb="10" eb="12">
      <t>ショリ</t>
    </rPh>
    <phoneticPr fontId="1"/>
  </si>
  <si>
    <t>変更前BSお客様番号</t>
    <rPh sb="0" eb="2">
      <t>ヘンコウ</t>
    </rPh>
    <rPh sb="2" eb="3">
      <t>マエ</t>
    </rPh>
    <rPh sb="6" eb="8">
      <t>キャクサマ</t>
    </rPh>
    <rPh sb="8" eb="10">
      <t>バンゴウ</t>
    </rPh>
    <phoneticPr fontId="1"/>
  </si>
  <si>
    <t>oldbillingStationCustomerNumber</t>
    <phoneticPr fontId="1"/>
  </si>
  <si>
    <t>削除番明</t>
    <rPh sb="0" eb="2">
      <t>サクジョ</t>
    </rPh>
    <rPh sb="2" eb="3">
      <t>バン</t>
    </rPh>
    <rPh sb="3" eb="4">
      <t>メイ</t>
    </rPh>
    <phoneticPr fontId="1"/>
  </si>
  <si>
    <t>追加番明</t>
    <rPh sb="0" eb="2">
      <t>ツイカ</t>
    </rPh>
    <rPh sb="2" eb="3">
      <t>バン</t>
    </rPh>
    <rPh sb="3" eb="4">
      <t>メイ</t>
    </rPh>
    <phoneticPr fontId="1"/>
  </si>
  <si>
    <t>tsukekae.xlsx</t>
    <phoneticPr fontId="1"/>
  </si>
  <si>
    <t>付替先BSお客様番号の情報を記載ください</t>
    <rPh sb="0" eb="1">
      <t>ツ</t>
    </rPh>
    <rPh sb="1" eb="2">
      <t>カ</t>
    </rPh>
    <rPh sb="2" eb="3">
      <t>サキ</t>
    </rPh>
    <rPh sb="6" eb="8">
      <t>キャクサマ</t>
    </rPh>
    <rPh sb="8" eb="10">
      <t>バンゴウ</t>
    </rPh>
    <rPh sb="11" eb="13">
      <t>ジョウホウ</t>
    </rPh>
    <rPh sb="14" eb="16">
      <t>キサイ</t>
    </rPh>
    <phoneticPr fontId="1"/>
  </si>
  <si>
    <t>変更付替申込書</t>
    <rPh sb="4" eb="7">
      <t>モウシコミショ</t>
    </rPh>
    <phoneticPr fontId="1"/>
  </si>
  <si>
    <t>お客様</t>
  </si>
  <si>
    <t>変更付替申込書</t>
    <rPh sb="0" eb="2">
      <t>ヘンコウ</t>
    </rPh>
    <rPh sb="2" eb="4">
      <t>ツケカエ</t>
    </rPh>
    <rPh sb="4" eb="7">
      <t>モウシコミショ</t>
    </rPh>
    <phoneticPr fontId="1"/>
  </si>
  <si>
    <t>↑付替後が入る</t>
    <rPh sb="1" eb="3">
      <t>ツケカエ</t>
    </rPh>
    <rPh sb="3" eb="4">
      <t>ゴ</t>
    </rPh>
    <rPh sb="5" eb="6">
      <t>ハイ</t>
    </rPh>
    <phoneticPr fontId="1"/>
  </si>
  <si>
    <t>不要</t>
    <rPh sb="0" eb="2">
      <t>フヨウ</t>
    </rPh>
    <phoneticPr fontId="1"/>
  </si>
  <si>
    <t>お客さま用</t>
    <rPh sb="1" eb="2">
      <t>キャク</t>
    </rPh>
    <rPh sb="4" eb="5">
      <t>ヨウ</t>
    </rPh>
    <phoneticPr fontId="1"/>
  </si>
  <si>
    <t>付替はNULL</t>
    <rPh sb="0" eb="2">
      <t>ツケカエ</t>
    </rPh>
    <phoneticPr fontId="1"/>
  </si>
  <si>
    <t>BSお客様番号処理=変更後</t>
    <rPh sb="3" eb="5">
      <t>キャクサマ</t>
    </rPh>
    <rPh sb="5" eb="7">
      <t>バンゴウ</t>
    </rPh>
    <rPh sb="7" eb="9">
      <t>ショリ</t>
    </rPh>
    <rPh sb="10" eb="12">
      <t>ヘンコウ</t>
    </rPh>
    <rPh sb="12" eb="13">
      <t>ゴ</t>
    </rPh>
    <phoneticPr fontId="1"/>
  </si>
  <si>
    <t>列1</t>
  </si>
  <si>
    <t>変更はNULL</t>
    <rPh sb="0" eb="2">
      <t>ヘンコウ</t>
    </rPh>
    <phoneticPr fontId="1"/>
  </si>
  <si>
    <t>「現在のBSお客様番号」で見ることのできる請求番号だけを記載ください。
複数のBSお客さま番号からまとめたい場合はお手数ですが現在のBSお客様番号ごとにお申込書を記載ください。</t>
    <rPh sb="36" eb="38">
      <t>フクスウ</t>
    </rPh>
    <rPh sb="42" eb="43">
      <t>キャク</t>
    </rPh>
    <rPh sb="45" eb="47">
      <t>バンゴウ</t>
    </rPh>
    <rPh sb="54" eb="56">
      <t>バアイ</t>
    </rPh>
    <rPh sb="58" eb="60">
      <t>テスウ</t>
    </rPh>
    <rPh sb="63" eb="65">
      <t>ゲンザイ</t>
    </rPh>
    <rPh sb="77" eb="79">
      <t>モウシコミ</t>
    </rPh>
    <rPh sb="79" eb="80">
      <t>ショ</t>
    </rPh>
    <rPh sb="81" eb="83">
      <t>キサイ</t>
    </rPh>
    <phoneticPr fontId="1"/>
  </si>
  <si>
    <t>ご利用のビリングステーションBSお客様番号「BS＋7桁」をご記入ください。
複数のBSお客さま番号からまとめたい場合は、現在のBSお客様番号ごとにお申込書を別にしてください。</t>
    <rPh sb="78" eb="79">
      <t>ベツ</t>
    </rPh>
    <phoneticPr fontId="1"/>
  </si>
  <si>
    <t>請求種別</t>
    <phoneticPr fontId="1"/>
  </si>
  <si>
    <t>エラー値の数をカウント</t>
    <phoneticPr fontId="1"/>
  </si>
  <si>
    <t>エラー数チェック</t>
    <phoneticPr fontId="1"/>
  </si>
  <si>
    <t>お客さま用</t>
    <rPh sb="4" eb="5">
      <t>ヨウ</t>
    </rPh>
    <phoneticPr fontId="1"/>
  </si>
  <si>
    <t>ご契約者連絡先　部署名フリガナ</t>
    <phoneticPr fontId="1"/>
  </si>
  <si>
    <t>本サービスについてプライバシーポリシー（https://www.ntt.com/about-us/hp/privacy.html）に同意し、
NTTドコモビジネス株式会社が定める
ビリングステーション利用規約に同意の上、下記の通り申込みます。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</si>
</sst>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0_ "/>
    <numFmt numFmtId="177" formatCode="yyyy/mm/dd"/>
    <numFmt numFmtId="178" formatCode="0000000"/>
    <numFmt numFmtId="179" formatCode="0_);[Red]\(0\)"/>
    <numFmt numFmtId="180" formatCode="00"/>
  </numFmts>
  <fonts count="43">
    <font>
      <sz val="11"/>
      <name val="ＭＳ Ｐゴシック"/>
      <family val="3"/>
      <charset val="128"/>
    </font>
    <font>
      <sz val="6"/>
      <name val="ＭＳ Ｐゴシック"/>
      <family val="3"/>
      <charset val="128"/>
    </font>
    <font>
      <sz val="10"/>
      <name val="ＭＳ Ｐゴシック"/>
      <family val="3"/>
      <charset val="128"/>
    </font>
    <font>
      <sz val="11"/>
      <name val="ＭＳ Ｐゴシック"/>
      <family val="3"/>
      <charset val="128"/>
    </font>
    <font>
      <sz val="11"/>
      <color indexed="12"/>
      <name val="ＭＳ Ｐゴシック"/>
      <family val="3"/>
      <charset val="128"/>
    </font>
    <font>
      <b/>
      <sz val="26"/>
      <name val="ＭＳ Ｐゴシック"/>
      <family val="3"/>
      <charset val="128"/>
    </font>
    <font>
      <sz val="8"/>
      <name val="ＭＳ Ｐゴシック"/>
      <family val="3"/>
      <charset val="128"/>
    </font>
    <font>
      <sz val="11"/>
      <color indexed="12"/>
      <name val="ＭＳ ゴシック"/>
      <family val="3"/>
      <charset val="128"/>
    </font>
    <font>
      <sz val="16"/>
      <name val="ＭＳ Ｐゴシック"/>
      <family val="3"/>
      <charset val="128"/>
    </font>
    <font>
      <sz val="12"/>
      <name val="ＭＳ Ｐゴシック"/>
      <family val="3"/>
      <charset val="128"/>
    </font>
    <font>
      <sz val="12"/>
      <name val="ＭＳ ゴシック"/>
      <family val="3"/>
      <charset val="128"/>
    </font>
    <font>
      <sz val="18"/>
      <name val="ＭＳ Ｐゴシック"/>
      <family val="3"/>
      <charset val="128"/>
    </font>
    <font>
      <sz val="24"/>
      <name val="ＭＳ Ｐゴシック"/>
      <family val="3"/>
      <charset val="128"/>
    </font>
    <font>
      <sz val="14"/>
      <name val="ＭＳ Ｐゴシック"/>
      <family val="3"/>
      <charset val="128"/>
    </font>
    <font>
      <sz val="11"/>
      <color theme="1"/>
      <name val="ＭＳ Ｐゴシック"/>
      <family val="3"/>
      <charset val="128"/>
      <scheme val="minor"/>
    </font>
    <font>
      <sz val="11"/>
      <color theme="1"/>
      <name val="ＭＳ Ｐゴシック"/>
      <family val="3"/>
      <charset val="128"/>
    </font>
    <font>
      <sz val="11"/>
      <name val="Segoe UI Symbol"/>
      <family val="3"/>
    </font>
    <font>
      <sz val="10"/>
      <color theme="1"/>
      <name val="メイリオ"/>
      <family val="2"/>
      <charset val="128"/>
    </font>
    <font>
      <b/>
      <sz val="16"/>
      <color rgb="FF444444"/>
      <name val="メイリオ"/>
      <family val="3"/>
      <charset val="128"/>
    </font>
    <font>
      <sz val="6"/>
      <name val="メイリオ"/>
      <family val="2"/>
      <charset val="128"/>
    </font>
    <font>
      <sz val="10"/>
      <color theme="1"/>
      <name val="メイリオ"/>
      <family val="3"/>
      <charset val="128"/>
    </font>
    <font>
      <sz val="12"/>
      <color rgb="FFFF0000"/>
      <name val="メイリオ"/>
      <family val="3"/>
      <charset val="128"/>
    </font>
    <font>
      <sz val="12"/>
      <color theme="1"/>
      <name val="メイリオ"/>
      <family val="3"/>
      <charset val="128"/>
    </font>
    <font>
      <sz val="11"/>
      <name val="メイリオ"/>
      <family val="3"/>
      <charset val="128"/>
    </font>
    <font>
      <sz val="14"/>
      <name val="メイリオ"/>
      <family val="3"/>
      <charset val="128"/>
    </font>
    <font>
      <sz val="12"/>
      <name val="メイリオ"/>
      <family val="3"/>
      <charset val="128"/>
    </font>
    <font>
      <sz val="9"/>
      <name val="メイリオ"/>
      <family val="3"/>
      <charset val="128"/>
    </font>
    <font>
      <sz val="10"/>
      <name val="メイリオ"/>
      <family val="3"/>
      <charset val="128"/>
    </font>
    <font>
      <sz val="12"/>
      <color rgb="FF000000"/>
      <name val="メイリオ"/>
      <family val="3"/>
      <charset val="128"/>
    </font>
    <font>
      <sz val="10"/>
      <color rgb="FF000000"/>
      <name val="メイリオ"/>
      <family val="3"/>
      <charset val="128"/>
    </font>
    <font>
      <sz val="9"/>
      <color theme="1"/>
      <name val="メイリオ"/>
      <family val="3"/>
      <charset val="128"/>
    </font>
    <font>
      <sz val="9"/>
      <color rgb="FF000000"/>
      <name val="メイリオ"/>
      <family val="3"/>
      <charset val="128"/>
    </font>
    <font>
      <sz val="16"/>
      <name val="ＭＳ ゴシック"/>
      <family val="3"/>
      <charset val="128"/>
    </font>
    <font>
      <sz val="22"/>
      <name val="ＭＳ ゴシック"/>
      <family val="3"/>
      <charset val="128"/>
    </font>
    <font>
      <u/>
      <sz val="11"/>
      <color theme="10"/>
      <name val="ＭＳ Ｐゴシック"/>
      <family val="3"/>
      <charset val="128"/>
    </font>
    <font>
      <sz val="9"/>
      <color indexed="81"/>
      <name val="MS P ゴシック"/>
      <family val="3"/>
      <charset val="128"/>
    </font>
    <font>
      <b/>
      <sz val="10"/>
      <color indexed="81"/>
      <name val="MS P ゴシック"/>
      <family val="3"/>
      <charset val="128"/>
    </font>
    <font>
      <sz val="10"/>
      <color indexed="81"/>
      <name val="MS P ゴシック"/>
      <family val="3"/>
      <charset val="128"/>
    </font>
    <font>
      <sz val="11"/>
      <color theme="1"/>
      <name val="メイリオ"/>
      <family val="3"/>
      <charset val="128"/>
    </font>
    <font>
      <sz val="11"/>
      <color rgb="FF000000"/>
      <name val="メイリオ"/>
      <family val="3"/>
      <charset val="128"/>
    </font>
    <font>
      <b/>
      <sz val="14"/>
      <name val="ＭＳ ゴシック"/>
      <family val="3"/>
      <charset val="128"/>
    </font>
    <font>
      <b/>
      <sz val="20"/>
      <name val="ＭＳ ゴシック"/>
      <family val="3"/>
      <charset val="128"/>
    </font>
    <font>
      <b/>
      <sz val="12"/>
      <color theme="1"/>
      <name val="メイリオ"/>
      <family val="3"/>
      <charset val="128"/>
    </font>
  </fonts>
  <fills count="16">
    <fill>
      <patternFill patternType="none"/>
    </fill>
    <fill>
      <patternFill patternType="gray125"/>
    </fill>
    <fill>
      <patternFill patternType="solid">
        <fgColor indexed="41"/>
        <bgColor indexed="64"/>
      </patternFill>
    </fill>
    <fill>
      <patternFill patternType="solid">
        <fgColor theme="4" tint="0.79998168889431442"/>
        <bgColor theme="4" tint="0.79998168889431442"/>
      </patternFill>
    </fill>
    <fill>
      <patternFill patternType="solid">
        <fgColor theme="0" tint="-4.9989318521683403E-2"/>
        <bgColor theme="4" tint="0.79998168889431442"/>
      </patternFill>
    </fill>
    <fill>
      <patternFill patternType="solid">
        <fgColor theme="0" tint="-4.9989318521683403E-2"/>
        <bgColor indexed="64"/>
      </patternFill>
    </fill>
    <fill>
      <patternFill patternType="solid">
        <fgColor theme="0" tint="-0.249977111117893"/>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rgb="FFCCFFFF"/>
        <bgColor indexed="64"/>
      </patternFill>
    </fill>
    <fill>
      <patternFill patternType="solid">
        <fgColor rgb="FFFF0000"/>
        <bgColor indexed="64"/>
      </patternFill>
    </fill>
    <fill>
      <patternFill patternType="solid">
        <fgColor theme="0"/>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tint="-0.499984740745262"/>
        <bgColor theme="4" tint="0.79998168889431442"/>
      </patternFill>
    </fill>
    <fill>
      <patternFill patternType="solid">
        <fgColor rgb="FFFFFF00"/>
        <bgColor indexed="64"/>
      </patternFill>
    </fill>
  </fills>
  <borders count="56">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bottom style="thin">
        <color indexed="64"/>
      </bottom>
      <diagonal/>
    </border>
    <border>
      <left style="thin">
        <color theme="4" tint="0.39997558519241921"/>
      </left>
      <right/>
      <top style="thin">
        <color theme="4" tint="0.39997558519241921"/>
      </top>
      <bottom style="thin">
        <color theme="4" tint="0.39997558519241921"/>
      </bottom>
      <diagonal/>
    </border>
    <border>
      <left/>
      <right/>
      <top/>
      <bottom style="thin">
        <color theme="4" tint="0.39997558519241921"/>
      </bottom>
      <diagonal/>
    </border>
    <border>
      <left/>
      <right/>
      <top style="thin">
        <color theme="4" tint="0.39997558519241921"/>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theme="4" tint="0.39997558519241921"/>
      </top>
      <bottom style="thin">
        <color theme="4" tint="0.39997558519241921"/>
      </bottom>
      <diagonal/>
    </border>
    <border>
      <left style="medium">
        <color indexed="64"/>
      </left>
      <right style="medium">
        <color indexed="64"/>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dotted">
        <color indexed="64"/>
      </right>
      <top style="medium">
        <color indexed="64"/>
      </top>
      <bottom style="dotted">
        <color indexed="64"/>
      </bottom>
      <diagonal/>
    </border>
    <border>
      <left style="dotted">
        <color indexed="64"/>
      </left>
      <right style="medium">
        <color indexed="64"/>
      </right>
      <top style="medium">
        <color indexed="64"/>
      </top>
      <bottom style="dotted">
        <color indexed="64"/>
      </bottom>
      <diagonal/>
    </border>
    <border>
      <left style="medium">
        <color indexed="64"/>
      </left>
      <right style="dotted">
        <color indexed="64"/>
      </right>
      <top style="dotted">
        <color indexed="64"/>
      </top>
      <bottom style="medium">
        <color indexed="64"/>
      </bottom>
      <diagonal/>
    </border>
    <border>
      <left style="dotted">
        <color indexed="64"/>
      </left>
      <right style="medium">
        <color indexed="64"/>
      </right>
      <top style="dotted">
        <color indexed="64"/>
      </top>
      <bottom style="medium">
        <color indexed="64"/>
      </bottom>
      <diagonal/>
    </border>
  </borders>
  <cellStyleXfs count="6">
    <xf numFmtId="0" fontId="0" fillId="0" borderId="0"/>
    <xf numFmtId="0" fontId="3" fillId="0" borderId="0">
      <alignment vertical="center"/>
    </xf>
    <xf numFmtId="0" fontId="3" fillId="0" borderId="0"/>
    <xf numFmtId="0" fontId="14" fillId="0" borderId="0">
      <alignment vertical="center"/>
    </xf>
    <xf numFmtId="0" fontId="17" fillId="0" borderId="0">
      <alignment vertical="center"/>
    </xf>
    <xf numFmtId="0" fontId="34" fillId="0" borderId="0" applyNumberFormat="0" applyFill="0" applyBorder="0" applyAlignment="0" applyProtection="0"/>
  </cellStyleXfs>
  <cellXfs count="302">
    <xf numFmtId="0" fontId="0" fillId="0" borderId="0" xfId="0"/>
    <xf numFmtId="0" fontId="15" fillId="4" borderId="30" xfId="0" applyFont="1" applyFill="1" applyBorder="1"/>
    <xf numFmtId="0" fontId="15" fillId="5" borderId="30" xfId="0" applyFont="1" applyFill="1" applyBorder="1"/>
    <xf numFmtId="0" fontId="0" fillId="5" borderId="0" xfId="0" applyFill="1"/>
    <xf numFmtId="0" fontId="15" fillId="3" borderId="31" xfId="0" applyFont="1" applyFill="1" applyBorder="1"/>
    <xf numFmtId="0" fontId="15" fillId="0" borderId="31" xfId="0" applyFont="1" applyBorder="1"/>
    <xf numFmtId="0" fontId="15" fillId="0" borderId="31" xfId="0" applyFont="1" applyBorder="1" applyAlignment="1">
      <alignment wrapText="1"/>
    </xf>
    <xf numFmtId="0" fontId="0" fillId="0" borderId="0" xfId="0" applyAlignment="1">
      <alignment wrapText="1"/>
    </xf>
    <xf numFmtId="0" fontId="16" fillId="0" borderId="0" xfId="0" applyFont="1"/>
    <xf numFmtId="176" fontId="0" fillId="0" borderId="0" xfId="0" applyNumberFormat="1"/>
    <xf numFmtId="0" fontId="15" fillId="0" borderId="37" xfId="0" applyFont="1" applyBorder="1"/>
    <xf numFmtId="0" fontId="18" fillId="0" borderId="0" xfId="4" applyFont="1">
      <alignment vertical="center"/>
    </xf>
    <xf numFmtId="0" fontId="20" fillId="0" borderId="0" xfId="4" applyFont="1">
      <alignment vertical="center"/>
    </xf>
    <xf numFmtId="0" fontId="22" fillId="0" borderId="0" xfId="4" applyFont="1">
      <alignment vertical="center"/>
    </xf>
    <xf numFmtId="0" fontId="23" fillId="0" borderId="38" xfId="4" applyFont="1" applyBorder="1" applyAlignment="1">
      <alignment horizontal="center" vertical="center" wrapText="1"/>
    </xf>
    <xf numFmtId="0" fontId="25" fillId="0" borderId="38" xfId="4" applyFont="1" applyBorder="1" applyAlignment="1">
      <alignment horizontal="center" vertical="center" wrapText="1"/>
    </xf>
    <xf numFmtId="0" fontId="24" fillId="0" borderId="39" xfId="4" applyFont="1" applyBorder="1" applyAlignment="1">
      <alignment horizontal="center" vertical="center" wrapText="1"/>
    </xf>
    <xf numFmtId="0" fontId="30" fillId="0" borderId="0" xfId="4" applyFont="1">
      <alignment vertical="center"/>
    </xf>
    <xf numFmtId="0" fontId="26" fillId="0" borderId="41" xfId="4" applyFont="1" applyBorder="1" applyAlignment="1">
      <alignment horizontal="center" vertical="center" wrapText="1"/>
    </xf>
    <xf numFmtId="49" fontId="26" fillId="0" borderId="41" xfId="4" applyNumberFormat="1" applyFont="1" applyBorder="1" applyAlignment="1">
      <alignment horizontal="center" vertical="center"/>
    </xf>
    <xf numFmtId="0" fontId="31" fillId="0" borderId="41" xfId="4" applyFont="1" applyBorder="1" applyAlignment="1">
      <alignment horizontal="center" vertical="center" wrapText="1"/>
    </xf>
    <xf numFmtId="0" fontId="31" fillId="0" borderId="13" xfId="4" applyFont="1" applyBorder="1" applyAlignment="1">
      <alignment vertical="center" wrapText="1"/>
    </xf>
    <xf numFmtId="0" fontId="31" fillId="0" borderId="17" xfId="4" applyFont="1" applyBorder="1" applyAlignment="1">
      <alignment vertical="center" wrapText="1"/>
    </xf>
    <xf numFmtId="0" fontId="26" fillId="8" borderId="34" xfId="4" applyFont="1" applyFill="1" applyBorder="1" applyAlignment="1">
      <alignment horizontal="center" vertical="center" wrapText="1"/>
    </xf>
    <xf numFmtId="0" fontId="24" fillId="8" borderId="27" xfId="4" applyFont="1" applyFill="1" applyBorder="1">
      <alignment vertical="center"/>
    </xf>
    <xf numFmtId="0" fontId="26" fillId="8" borderId="27" xfId="4" applyFont="1" applyFill="1" applyBorder="1" applyAlignment="1">
      <alignment horizontal="center" vertical="center" wrapText="1"/>
    </xf>
    <xf numFmtId="0" fontId="24" fillId="0" borderId="27" xfId="4" applyFont="1" applyBorder="1">
      <alignment vertical="center"/>
    </xf>
    <xf numFmtId="0" fontId="24" fillId="0" borderId="33" xfId="4" applyFont="1" applyBorder="1">
      <alignment vertical="center"/>
    </xf>
    <xf numFmtId="0" fontId="23" fillId="0" borderId="38" xfId="0" applyFont="1" applyBorder="1" applyAlignment="1">
      <alignment horizontal="center" vertical="center" wrapText="1"/>
    </xf>
    <xf numFmtId="0" fontId="26" fillId="0" borderId="41" xfId="0" applyFont="1" applyBorder="1" applyAlignment="1">
      <alignment horizontal="center" vertical="center" wrapText="1"/>
    </xf>
    <xf numFmtId="0" fontId="3" fillId="0" borderId="0" xfId="1">
      <alignment vertical="center"/>
    </xf>
    <xf numFmtId="0" fontId="5" fillId="0" borderId="0" xfId="1" applyFont="1" applyAlignment="1">
      <alignment horizontal="center" vertical="center"/>
    </xf>
    <xf numFmtId="0" fontId="13" fillId="0" borderId="3" xfId="1" applyFont="1" applyBorder="1">
      <alignment vertical="center"/>
    </xf>
    <xf numFmtId="176" fontId="13" fillId="0" borderId="4" xfId="1" applyNumberFormat="1" applyFont="1" applyBorder="1">
      <alignment vertical="center"/>
    </xf>
    <xf numFmtId="0" fontId="3" fillId="0" borderId="0" xfId="1" applyAlignment="1">
      <alignment vertical="center" wrapText="1"/>
    </xf>
    <xf numFmtId="0" fontId="4" fillId="0" borderId="0" xfId="1" applyFont="1">
      <alignment vertical="center"/>
    </xf>
    <xf numFmtId="0" fontId="9" fillId="0" borderId="0" xfId="1" applyFont="1">
      <alignment vertical="center"/>
    </xf>
    <xf numFmtId="0" fontId="2" fillId="0" borderId="0" xfId="1" applyFont="1" applyAlignment="1">
      <alignment horizontal="center" vertical="center"/>
    </xf>
    <xf numFmtId="0" fontId="6" fillId="0" borderId="0" xfId="1" applyFont="1" applyAlignment="1">
      <alignment horizontal="center" vertical="center" wrapText="1"/>
    </xf>
    <xf numFmtId="0" fontId="3" fillId="0" borderId="0" xfId="1" applyAlignment="1">
      <alignment horizontal="left" vertical="center" wrapText="1"/>
    </xf>
    <xf numFmtId="0" fontId="6" fillId="0" borderId="0" xfId="1" applyFont="1" applyAlignment="1">
      <alignment horizontal="left" vertical="center" wrapText="1"/>
    </xf>
    <xf numFmtId="0" fontId="0" fillId="0" borderId="0" xfId="1" applyFont="1">
      <alignment vertical="center"/>
    </xf>
    <xf numFmtId="0" fontId="9" fillId="0" borderId="1" xfId="1" applyFont="1" applyBorder="1">
      <alignment vertical="center"/>
    </xf>
    <xf numFmtId="0" fontId="9" fillId="0" borderId="2" xfId="1" applyFont="1" applyBorder="1">
      <alignment vertical="center"/>
    </xf>
    <xf numFmtId="0" fontId="9" fillId="0" borderId="8" xfId="1" applyFont="1" applyBorder="1">
      <alignment vertical="center"/>
    </xf>
    <xf numFmtId="0" fontId="25" fillId="0" borderId="29" xfId="0" applyFont="1" applyBorder="1" applyAlignment="1" applyProtection="1">
      <alignment vertical="center"/>
      <protection locked="0"/>
    </xf>
    <xf numFmtId="0" fontId="24" fillId="0" borderId="27" xfId="4" applyFont="1" applyBorder="1" applyProtection="1">
      <alignment vertical="center"/>
      <protection locked="0"/>
    </xf>
    <xf numFmtId="0" fontId="24" fillId="0" borderId="29" xfId="4" applyFont="1" applyBorder="1" applyProtection="1">
      <alignment vertical="center"/>
      <protection locked="0"/>
    </xf>
    <xf numFmtId="0" fontId="24" fillId="0" borderId="33" xfId="4" applyFont="1" applyBorder="1" applyProtection="1">
      <alignment vertical="center"/>
      <protection locked="0"/>
    </xf>
    <xf numFmtId="179" fontId="24" fillId="8" borderId="34" xfId="4" applyNumberFormat="1" applyFont="1" applyFill="1" applyBorder="1" applyAlignment="1">
      <alignment horizontal="left" vertical="center" wrapText="1"/>
    </xf>
    <xf numFmtId="179" fontId="24" fillId="8" borderId="27" xfId="4" applyNumberFormat="1" applyFont="1" applyFill="1" applyBorder="1" applyAlignment="1">
      <alignment horizontal="left" vertical="center" wrapText="1"/>
    </xf>
    <xf numFmtId="0" fontId="25" fillId="8" borderId="29" xfId="0" applyFont="1" applyFill="1" applyBorder="1" applyAlignment="1">
      <alignment vertical="center"/>
    </xf>
    <xf numFmtId="49" fontId="24" fillId="0" borderId="27" xfId="4" applyNumberFormat="1" applyFont="1" applyBorder="1" applyAlignment="1" applyProtection="1">
      <alignment horizontal="left" vertical="center"/>
      <protection locked="0"/>
    </xf>
    <xf numFmtId="49" fontId="24" fillId="0" borderId="33" xfId="4" applyNumberFormat="1" applyFont="1" applyBorder="1" applyAlignment="1" applyProtection="1">
      <alignment horizontal="left" vertical="center"/>
      <protection locked="0"/>
    </xf>
    <xf numFmtId="0" fontId="25" fillId="0" borderId="27" xfId="0" applyFont="1" applyBorder="1" applyAlignment="1" applyProtection="1">
      <alignment vertical="center"/>
      <protection locked="0"/>
    </xf>
    <xf numFmtId="0" fontId="25" fillId="0" borderId="33" xfId="0" applyFont="1" applyBorder="1" applyAlignment="1" applyProtection="1">
      <alignment vertical="center"/>
      <protection locked="0"/>
    </xf>
    <xf numFmtId="0" fontId="2" fillId="9" borderId="3" xfId="1" applyFont="1" applyFill="1" applyBorder="1">
      <alignment vertical="center"/>
    </xf>
    <xf numFmtId="0" fontId="2" fillId="9" borderId="10" xfId="1" applyFont="1" applyFill="1" applyBorder="1">
      <alignment vertical="center"/>
    </xf>
    <xf numFmtId="0" fontId="2" fillId="9" borderId="4" xfId="1" applyFont="1" applyFill="1" applyBorder="1">
      <alignment vertical="center"/>
    </xf>
    <xf numFmtId="0" fontId="2" fillId="0" borderId="3" xfId="1" applyFont="1" applyBorder="1">
      <alignment vertical="center"/>
    </xf>
    <xf numFmtId="0" fontId="2" fillId="0" borderId="4" xfId="1" applyFont="1" applyBorder="1">
      <alignment vertical="center"/>
    </xf>
    <xf numFmtId="0" fontId="11" fillId="9" borderId="10" xfId="1" applyFont="1" applyFill="1" applyBorder="1">
      <alignment vertical="center"/>
    </xf>
    <xf numFmtId="0" fontId="11" fillId="9" borderId="4" xfId="1" applyFont="1" applyFill="1" applyBorder="1">
      <alignment vertical="center"/>
    </xf>
    <xf numFmtId="0" fontId="9" fillId="2" borderId="0" xfId="1" applyFont="1" applyFill="1">
      <alignment vertical="center"/>
    </xf>
    <xf numFmtId="0" fontId="9" fillId="2" borderId="8" xfId="1" applyFont="1" applyFill="1" applyBorder="1">
      <alignment vertical="center"/>
    </xf>
    <xf numFmtId="0" fontId="2" fillId="0" borderId="10" xfId="1" applyFont="1" applyBorder="1">
      <alignment vertical="center"/>
    </xf>
    <xf numFmtId="0" fontId="11" fillId="0" borderId="3" xfId="1" applyFont="1" applyBorder="1" applyAlignment="1">
      <alignment horizontal="left" vertical="center" wrapText="1"/>
    </xf>
    <xf numFmtId="0" fontId="11" fillId="0" borderId="10" xfId="1" applyFont="1" applyBorder="1" applyAlignment="1">
      <alignment horizontal="left" vertical="center" wrapText="1"/>
    </xf>
    <xf numFmtId="0" fontId="11" fillId="0" borderId="4" xfId="1" applyFont="1" applyBorder="1" applyAlignment="1">
      <alignment horizontal="left" vertical="center" wrapText="1"/>
    </xf>
    <xf numFmtId="0" fontId="9" fillId="9" borderId="10" xfId="1" applyFont="1" applyFill="1" applyBorder="1">
      <alignment vertical="center"/>
    </xf>
    <xf numFmtId="0" fontId="3" fillId="9" borderId="10" xfId="1" applyFill="1" applyBorder="1">
      <alignment vertical="center"/>
    </xf>
    <xf numFmtId="0" fontId="9" fillId="9" borderId="4" xfId="1" applyFont="1" applyFill="1" applyBorder="1">
      <alignment vertical="center"/>
    </xf>
    <xf numFmtId="0" fontId="9" fillId="9" borderId="11" xfId="1" applyFont="1" applyFill="1" applyBorder="1">
      <alignment vertical="center"/>
    </xf>
    <xf numFmtId="0" fontId="9" fillId="9" borderId="0" xfId="1" applyFont="1" applyFill="1">
      <alignment vertical="center"/>
    </xf>
    <xf numFmtId="0" fontId="9" fillId="9" borderId="5" xfId="1" applyFont="1" applyFill="1" applyBorder="1">
      <alignment vertical="center"/>
    </xf>
    <xf numFmtId="0" fontId="9" fillId="9" borderId="7" xfId="1" applyFont="1" applyFill="1" applyBorder="1">
      <alignment vertical="center"/>
    </xf>
    <xf numFmtId="0" fontId="9" fillId="9" borderId="12" xfId="1" applyFont="1" applyFill="1" applyBorder="1">
      <alignment vertical="center"/>
    </xf>
    <xf numFmtId="0" fontId="9" fillId="9" borderId="13" xfId="1" applyFont="1" applyFill="1" applyBorder="1">
      <alignment vertical="center"/>
    </xf>
    <xf numFmtId="0" fontId="9" fillId="9" borderId="14" xfId="1" applyFont="1" applyFill="1" applyBorder="1">
      <alignment vertical="center"/>
    </xf>
    <xf numFmtId="0" fontId="8" fillId="0" borderId="3" xfId="1" applyFont="1" applyBorder="1">
      <alignment vertical="center"/>
    </xf>
    <xf numFmtId="0" fontId="21" fillId="0" borderId="0" xfId="4" applyFont="1" applyAlignment="1">
      <alignment vertical="center" wrapText="1"/>
    </xf>
    <xf numFmtId="0" fontId="24" fillId="0" borderId="40" xfId="4" applyFont="1" applyBorder="1" applyAlignment="1">
      <alignment horizontal="center" vertical="center" wrapText="1"/>
    </xf>
    <xf numFmtId="179" fontId="24" fillId="8" borderId="26" xfId="4" applyNumberFormat="1" applyFont="1" applyFill="1" applyBorder="1" applyAlignment="1">
      <alignment horizontal="left" vertical="center"/>
    </xf>
    <xf numFmtId="179" fontId="24" fillId="8" borderId="35" xfId="4" applyNumberFormat="1" applyFont="1" applyFill="1" applyBorder="1" applyAlignment="1">
      <alignment horizontal="left" vertical="center"/>
    </xf>
    <xf numFmtId="49" fontId="24" fillId="0" borderId="35" xfId="4" applyNumberFormat="1" applyFont="1" applyBorder="1" applyAlignment="1" applyProtection="1">
      <alignment horizontal="left" vertical="center"/>
      <protection locked="0"/>
    </xf>
    <xf numFmtId="49" fontId="24" fillId="0" borderId="21" xfId="4" applyNumberFormat="1" applyFont="1" applyBorder="1" applyAlignment="1" applyProtection="1">
      <alignment horizontal="left" vertical="center"/>
      <protection locked="0"/>
    </xf>
    <xf numFmtId="49" fontId="24" fillId="0" borderId="35" xfId="4" applyNumberFormat="1" applyFont="1" applyBorder="1" applyAlignment="1" applyProtection="1">
      <alignment horizontal="left"/>
      <protection locked="0"/>
    </xf>
    <xf numFmtId="49" fontId="24" fillId="0" borderId="36" xfId="4" applyNumberFormat="1" applyFont="1" applyBorder="1" applyAlignment="1" applyProtection="1">
      <alignment horizontal="left" vertical="center"/>
      <protection locked="0"/>
    </xf>
    <xf numFmtId="49" fontId="26" fillId="0" borderId="17" xfId="4" applyNumberFormat="1" applyFont="1" applyBorder="1" applyAlignment="1">
      <alignment horizontal="center" vertical="center" wrapText="1"/>
    </xf>
    <xf numFmtId="49" fontId="26" fillId="0" borderId="20" xfId="4" applyNumberFormat="1" applyFont="1" applyBorder="1" applyAlignment="1">
      <alignment horizontal="center" vertical="center" wrapText="1"/>
    </xf>
    <xf numFmtId="0" fontId="20" fillId="0" borderId="0" xfId="4" applyFont="1" applyAlignment="1">
      <alignment horizontal="center" vertical="center"/>
    </xf>
    <xf numFmtId="179" fontId="24" fillId="8" borderId="23" xfId="4" applyNumberFormat="1" applyFont="1" applyFill="1" applyBorder="1" applyAlignment="1">
      <alignment horizontal="center" vertical="center"/>
    </xf>
    <xf numFmtId="179" fontId="24" fillId="8" borderId="22" xfId="4" applyNumberFormat="1" applyFont="1" applyFill="1" applyBorder="1" applyAlignment="1">
      <alignment horizontal="center" vertical="center"/>
    </xf>
    <xf numFmtId="0" fontId="24" fillId="0" borderId="22" xfId="4" applyFont="1" applyBorder="1" applyAlignment="1" applyProtection="1">
      <alignment horizontal="center" vertical="center"/>
      <protection locked="0"/>
    </xf>
    <xf numFmtId="0" fontId="24" fillId="0" borderId="51" xfId="4" applyFont="1" applyBorder="1" applyAlignment="1" applyProtection="1">
      <alignment horizontal="center" vertical="center"/>
      <protection locked="0"/>
    </xf>
    <xf numFmtId="0" fontId="23" fillId="8" borderId="21" xfId="0" applyFont="1" applyFill="1" applyBorder="1" applyAlignment="1" applyProtection="1">
      <alignment horizontal="left" vertical="center"/>
      <protection locked="0"/>
    </xf>
    <xf numFmtId="0" fontId="23" fillId="8" borderId="21" xfId="4" applyFont="1" applyFill="1" applyBorder="1" applyAlignment="1">
      <alignment horizontal="left" vertical="center" wrapText="1"/>
    </xf>
    <xf numFmtId="0" fontId="23" fillId="8" borderId="21" xfId="4" applyFont="1" applyFill="1" applyBorder="1" applyAlignment="1">
      <alignment horizontal="center" vertical="center"/>
    </xf>
    <xf numFmtId="0" fontId="38" fillId="8" borderId="35" xfId="4" applyFont="1" applyFill="1" applyBorder="1">
      <alignment vertical="center"/>
    </xf>
    <xf numFmtId="49" fontId="39" fillId="8" borderId="42" xfId="4" applyNumberFormat="1" applyFont="1" applyFill="1" applyBorder="1" applyAlignment="1">
      <alignment vertical="center" wrapText="1"/>
    </xf>
    <xf numFmtId="49" fontId="39" fillId="8" borderId="43" xfId="4" applyNumberFormat="1" applyFont="1" applyFill="1" applyBorder="1" applyAlignment="1">
      <alignment horizontal="right" vertical="center" wrapText="1"/>
    </xf>
    <xf numFmtId="49" fontId="39" fillId="8" borderId="43" xfId="4" applyNumberFormat="1" applyFont="1" applyFill="1" applyBorder="1" applyAlignment="1">
      <alignment vertical="center" wrapText="1"/>
    </xf>
    <xf numFmtId="49" fontId="23" fillId="0" borderId="21" xfId="0" applyNumberFormat="1" applyFont="1" applyBorder="1" applyAlignment="1" applyProtection="1">
      <alignment horizontal="left" vertical="center"/>
      <protection locked="0"/>
    </xf>
    <xf numFmtId="49" fontId="38" fillId="0" borderId="35" xfId="4" applyNumberFormat="1" applyFont="1" applyBorder="1" applyProtection="1">
      <alignment vertical="center"/>
      <protection locked="0"/>
    </xf>
    <xf numFmtId="180" fontId="38" fillId="0" borderId="43" xfId="4" applyNumberFormat="1" applyFont="1" applyBorder="1" applyAlignment="1" applyProtection="1">
      <alignment horizontal="right" vertical="center"/>
      <protection locked="0"/>
    </xf>
    <xf numFmtId="180" fontId="23" fillId="0" borderId="45" xfId="0" applyNumberFormat="1" applyFont="1" applyBorder="1" applyAlignment="1" applyProtection="1">
      <alignment horizontal="left" vertical="center"/>
      <protection locked="0"/>
    </xf>
    <xf numFmtId="49" fontId="23" fillId="0" borderId="35" xfId="0" applyNumberFormat="1" applyFont="1" applyBorder="1" applyAlignment="1" applyProtection="1">
      <alignment horizontal="left" vertical="center"/>
      <protection locked="0"/>
    </xf>
    <xf numFmtId="180" fontId="23" fillId="0" borderId="43" xfId="0" applyNumberFormat="1" applyFont="1" applyBorder="1" applyAlignment="1" applyProtection="1">
      <alignment horizontal="left" vertical="center"/>
      <protection locked="0"/>
    </xf>
    <xf numFmtId="49" fontId="23" fillId="0" borderId="36" xfId="0" applyNumberFormat="1" applyFont="1" applyBorder="1" applyAlignment="1" applyProtection="1">
      <alignment horizontal="left" vertical="center"/>
      <protection locked="0"/>
    </xf>
    <xf numFmtId="49" fontId="38" fillId="0" borderId="36" xfId="4" applyNumberFormat="1" applyFont="1" applyBorder="1" applyProtection="1">
      <alignment vertical="center"/>
      <protection locked="0"/>
    </xf>
    <xf numFmtId="180" fontId="23" fillId="0" borderId="46" xfId="0" applyNumberFormat="1" applyFont="1" applyBorder="1" applyAlignment="1" applyProtection="1">
      <alignment horizontal="left" vertical="center"/>
      <protection locked="0"/>
    </xf>
    <xf numFmtId="0" fontId="0" fillId="0" borderId="52" xfId="0" applyBorder="1"/>
    <xf numFmtId="0" fontId="0" fillId="7" borderId="53" xfId="0" applyFill="1" applyBorder="1"/>
    <xf numFmtId="0" fontId="0" fillId="0" borderId="54" xfId="0" applyBorder="1"/>
    <xf numFmtId="0" fontId="0" fillId="7" borderId="55" xfId="0" applyFill="1" applyBorder="1"/>
    <xf numFmtId="0" fontId="15" fillId="5" borderId="30" xfId="0" applyFont="1" applyFill="1" applyBorder="1" applyAlignment="1">
      <alignment wrapText="1"/>
    </xf>
    <xf numFmtId="0" fontId="15" fillId="10" borderId="30" xfId="0" applyFont="1" applyFill="1" applyBorder="1" applyAlignment="1">
      <alignment wrapText="1"/>
    </xf>
    <xf numFmtId="0" fontId="15" fillId="3" borderId="32" xfId="0" applyFont="1" applyFill="1" applyBorder="1" applyAlignment="1">
      <alignment wrapText="1"/>
    </xf>
    <xf numFmtId="14" fontId="15" fillId="0" borderId="32" xfId="0" applyNumberFormat="1" applyFont="1" applyBorder="1" applyAlignment="1">
      <alignment wrapText="1"/>
    </xf>
    <xf numFmtId="0" fontId="15" fillId="0" borderId="32" xfId="0" applyFont="1" applyBorder="1" applyAlignment="1">
      <alignment wrapText="1"/>
    </xf>
    <xf numFmtId="0" fontId="15" fillId="3" borderId="0" xfId="0" applyFont="1" applyFill="1" applyAlignment="1">
      <alignment wrapText="1"/>
    </xf>
    <xf numFmtId="49" fontId="38" fillId="0" borderId="43" xfId="4" applyNumberFormat="1" applyFont="1" applyBorder="1" applyAlignment="1" applyProtection="1">
      <alignment horizontal="left" vertical="center"/>
      <protection locked="0"/>
    </xf>
    <xf numFmtId="49" fontId="23" fillId="0" borderId="45" xfId="0" applyNumberFormat="1" applyFont="1" applyBorder="1" applyAlignment="1" applyProtection="1">
      <alignment horizontal="left" vertical="center"/>
      <protection locked="0"/>
    </xf>
    <xf numFmtId="49" fontId="23" fillId="0" borderId="43" xfId="0" applyNumberFormat="1" applyFont="1" applyBorder="1" applyAlignment="1" applyProtection="1">
      <alignment horizontal="left" vertical="center"/>
      <protection locked="0"/>
    </xf>
    <xf numFmtId="0" fontId="24" fillId="0" borderId="22" xfId="4" applyFont="1" applyBorder="1" applyAlignment="1">
      <alignment horizontal="center" vertical="center"/>
    </xf>
    <xf numFmtId="0" fontId="24" fillId="0" borderId="51" xfId="4" applyFont="1" applyBorder="1" applyAlignment="1">
      <alignment horizontal="center" vertical="center"/>
    </xf>
    <xf numFmtId="0" fontId="20" fillId="0" borderId="13" xfId="4" applyFont="1" applyBorder="1">
      <alignment vertical="center"/>
    </xf>
    <xf numFmtId="14" fontId="41" fillId="0" borderId="3" xfId="0" applyNumberFormat="1" applyFont="1" applyBorder="1" applyAlignment="1">
      <alignment vertical="center"/>
    </xf>
    <xf numFmtId="0" fontId="0" fillId="0" borderId="52" xfId="0" applyBorder="1" applyAlignment="1">
      <alignment wrapText="1"/>
    </xf>
    <xf numFmtId="0" fontId="0" fillId="12" borderId="0" xfId="0" applyFill="1"/>
    <xf numFmtId="0" fontId="0" fillId="13" borderId="0" xfId="0" applyFill="1"/>
    <xf numFmtId="0" fontId="15" fillId="14" borderId="31" xfId="0" applyFont="1" applyFill="1" applyBorder="1"/>
    <xf numFmtId="0" fontId="15" fillId="14" borderId="0" xfId="0" applyFont="1" applyFill="1" applyAlignment="1">
      <alignment wrapText="1"/>
    </xf>
    <xf numFmtId="0" fontId="0" fillId="13" borderId="0" xfId="0" applyFill="1" applyAlignment="1">
      <alignment wrapText="1"/>
    </xf>
    <xf numFmtId="14" fontId="41" fillId="0" borderId="10" xfId="0" applyNumberFormat="1" applyFont="1" applyBorder="1" applyAlignment="1">
      <alignment vertical="center"/>
    </xf>
    <xf numFmtId="0" fontId="0" fillId="15" borderId="0" xfId="0" applyFill="1"/>
    <xf numFmtId="0" fontId="2" fillId="0" borderId="3" xfId="1" applyFont="1" applyBorder="1" applyAlignment="1">
      <alignment horizontal="center" vertical="center"/>
    </xf>
    <xf numFmtId="0" fontId="2" fillId="0" borderId="10" xfId="1" applyFont="1" applyBorder="1" applyAlignment="1">
      <alignment horizontal="center" vertical="center"/>
    </xf>
    <xf numFmtId="0" fontId="2" fillId="0" borderId="22" xfId="1" applyFont="1" applyBorder="1" applyAlignment="1">
      <alignment horizontal="center" vertical="center"/>
    </xf>
    <xf numFmtId="49" fontId="11" fillId="0" borderId="3" xfId="1" applyNumberFormat="1" applyFont="1" applyBorder="1" applyAlignment="1" applyProtection="1">
      <alignment horizontal="left" vertical="center"/>
      <protection locked="0"/>
    </xf>
    <xf numFmtId="49" fontId="11" fillId="0" borderId="10" xfId="1" applyNumberFormat="1" applyFont="1" applyBorder="1" applyAlignment="1" applyProtection="1">
      <alignment horizontal="left" vertical="center"/>
      <protection locked="0"/>
    </xf>
    <xf numFmtId="49" fontId="11" fillId="0" borderId="4" xfId="1" applyNumberFormat="1" applyFont="1" applyBorder="1" applyAlignment="1" applyProtection="1">
      <alignment horizontal="left" vertical="center"/>
      <protection locked="0"/>
    </xf>
    <xf numFmtId="0" fontId="9" fillId="2" borderId="18" xfId="1" applyFont="1" applyFill="1" applyBorder="1" applyAlignment="1">
      <alignment horizontal="center" vertical="center" wrapText="1"/>
    </xf>
    <xf numFmtId="0" fontId="9" fillId="2" borderId="1" xfId="1" applyFont="1" applyFill="1" applyBorder="1" applyAlignment="1">
      <alignment horizontal="center" vertical="center" wrapText="1"/>
    </xf>
    <xf numFmtId="0" fontId="9" fillId="2" borderId="2" xfId="1" applyFont="1" applyFill="1" applyBorder="1" applyAlignment="1">
      <alignment horizontal="center" vertical="center" wrapText="1"/>
    </xf>
    <xf numFmtId="0" fontId="9" fillId="2" borderId="21" xfId="1" applyFont="1" applyFill="1" applyBorder="1" applyAlignment="1">
      <alignment horizontal="center" vertical="center" wrapText="1"/>
    </xf>
    <xf numFmtId="0" fontId="9" fillId="2" borderId="5"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2" fillId="0" borderId="3" xfId="1" applyFont="1" applyBorder="1" applyAlignment="1">
      <alignment horizontal="center" vertical="center" wrapText="1"/>
    </xf>
    <xf numFmtId="0" fontId="2" fillId="0" borderId="10" xfId="1" applyFont="1" applyBorder="1" applyAlignment="1">
      <alignment horizontal="center" vertical="center" wrapText="1"/>
    </xf>
    <xf numFmtId="0" fontId="2" fillId="0" borderId="22" xfId="1" applyFont="1" applyBorder="1" applyAlignment="1">
      <alignment horizontal="center" vertical="center" wrapText="1"/>
    </xf>
    <xf numFmtId="49" fontId="11" fillId="0" borderId="3" xfId="1" applyNumberFormat="1" applyFont="1" applyBorder="1" applyAlignment="1" applyProtection="1">
      <alignment horizontal="left" vertical="center" wrapText="1"/>
      <protection locked="0"/>
    </xf>
    <xf numFmtId="49" fontId="11" fillId="0" borderId="10" xfId="1" applyNumberFormat="1" applyFont="1" applyBorder="1" applyAlignment="1" applyProtection="1">
      <alignment horizontal="left" vertical="center" wrapText="1"/>
      <protection locked="0"/>
    </xf>
    <xf numFmtId="49" fontId="11" fillId="0" borderId="4" xfId="1" applyNumberFormat="1" applyFont="1" applyBorder="1" applyAlignment="1" applyProtection="1">
      <alignment horizontal="left" vertical="center" wrapText="1"/>
      <protection locked="0"/>
    </xf>
    <xf numFmtId="0" fontId="9" fillId="9" borderId="3" xfId="1" applyFont="1" applyFill="1" applyBorder="1" applyAlignment="1">
      <alignment horizontal="center" vertical="center"/>
    </xf>
    <xf numFmtId="0" fontId="9" fillId="9" borderId="10" xfId="1" applyFont="1" applyFill="1" applyBorder="1" applyAlignment="1">
      <alignment horizontal="center" vertical="center"/>
    </xf>
    <xf numFmtId="0" fontId="9" fillId="9" borderId="4" xfId="1" applyFont="1" applyFill="1" applyBorder="1" applyAlignment="1">
      <alignment horizontal="center" vertical="center"/>
    </xf>
    <xf numFmtId="0" fontId="2" fillId="0" borderId="44" xfId="1" applyFont="1" applyBorder="1" applyAlignment="1" applyProtection="1">
      <alignment horizontal="center" vertical="center"/>
      <protection locked="0"/>
    </xf>
    <xf numFmtId="0" fontId="2" fillId="0" borderId="0" xfId="1" applyFont="1" applyAlignment="1" applyProtection="1">
      <alignment horizontal="center" vertical="center"/>
      <protection locked="0"/>
    </xf>
    <xf numFmtId="49" fontId="13" fillId="0" borderId="3" xfId="1" applyNumberFormat="1" applyFont="1" applyBorder="1" applyAlignment="1" applyProtection="1">
      <alignment horizontal="left" vertical="center" wrapText="1"/>
      <protection locked="0"/>
    </xf>
    <xf numFmtId="49" fontId="13" fillId="0" borderId="10" xfId="1" applyNumberFormat="1" applyFont="1" applyBorder="1" applyAlignment="1" applyProtection="1">
      <alignment horizontal="left" vertical="center"/>
      <protection locked="0"/>
    </xf>
    <xf numFmtId="49" fontId="13" fillId="0" borderId="22" xfId="1" applyNumberFormat="1" applyFont="1" applyBorder="1" applyAlignment="1" applyProtection="1">
      <alignment horizontal="left" vertical="center"/>
      <protection locked="0"/>
    </xf>
    <xf numFmtId="49" fontId="11" fillId="0" borderId="6" xfId="1" applyNumberFormat="1" applyFont="1" applyBorder="1" applyAlignment="1" applyProtection="1">
      <alignment horizontal="left" vertical="center" wrapText="1"/>
      <protection locked="0"/>
    </xf>
    <xf numFmtId="49" fontId="11" fillId="0" borderId="5" xfId="1" applyNumberFormat="1" applyFont="1" applyBorder="1" applyAlignment="1" applyProtection="1">
      <alignment horizontal="left" vertical="center"/>
      <protection locked="0"/>
    </xf>
    <xf numFmtId="49" fontId="11" fillId="0" borderId="16" xfId="1" applyNumberFormat="1" applyFont="1" applyBorder="1" applyAlignment="1" applyProtection="1">
      <alignment horizontal="left" vertical="center"/>
      <protection locked="0"/>
    </xf>
    <xf numFmtId="49" fontId="13" fillId="0" borderId="6" xfId="1" applyNumberFormat="1" applyFont="1" applyBorder="1" applyAlignment="1" applyProtection="1">
      <alignment horizontal="left" vertical="center" wrapText="1"/>
      <protection locked="0"/>
    </xf>
    <xf numFmtId="49" fontId="13" fillId="0" borderId="5" xfId="1" applyNumberFormat="1" applyFont="1" applyBorder="1" applyAlignment="1" applyProtection="1">
      <alignment horizontal="left" vertical="center"/>
      <protection locked="0"/>
    </xf>
    <xf numFmtId="49" fontId="13" fillId="0" borderId="16" xfId="1" applyNumberFormat="1" applyFont="1" applyBorder="1" applyAlignment="1" applyProtection="1">
      <alignment horizontal="left" vertical="center"/>
      <protection locked="0"/>
    </xf>
    <xf numFmtId="49" fontId="11" fillId="0" borderId="12" xfId="1" applyNumberFormat="1" applyFont="1" applyBorder="1" applyAlignment="1" applyProtection="1">
      <alignment horizontal="left" vertical="center" wrapText="1"/>
      <protection locked="0"/>
    </xf>
    <xf numFmtId="49" fontId="11" fillId="0" borderId="13" xfId="1" applyNumberFormat="1" applyFont="1" applyBorder="1" applyAlignment="1" applyProtection="1">
      <alignment horizontal="left" vertical="center"/>
      <protection locked="0"/>
    </xf>
    <xf numFmtId="49" fontId="11" fillId="0" borderId="17" xfId="1" applyNumberFormat="1" applyFont="1" applyBorder="1" applyAlignment="1" applyProtection="1">
      <alignment horizontal="left" vertical="center"/>
      <protection locked="0"/>
    </xf>
    <xf numFmtId="0" fontId="9" fillId="2" borderId="47" xfId="1" applyFont="1" applyFill="1" applyBorder="1" applyAlignment="1">
      <alignment horizontal="center" vertical="center" wrapText="1"/>
    </xf>
    <xf numFmtId="0" fontId="9" fillId="2" borderId="48" xfId="1" applyFont="1" applyFill="1" applyBorder="1" applyAlignment="1">
      <alignment horizontal="center" vertical="center" wrapText="1"/>
    </xf>
    <xf numFmtId="0" fontId="12" fillId="0" borderId="48" xfId="1" applyFont="1" applyBorder="1" applyAlignment="1" applyProtection="1">
      <alignment horizontal="center" vertical="center"/>
      <protection locked="0"/>
    </xf>
    <xf numFmtId="0" fontId="2" fillId="0" borderId="48" xfId="1" applyFont="1" applyBorder="1" applyAlignment="1">
      <alignment horizontal="center" vertical="center" wrapText="1"/>
    </xf>
    <xf numFmtId="0" fontId="2" fillId="0" borderId="42" xfId="1" applyFont="1" applyBorder="1" applyAlignment="1">
      <alignment horizontal="center" vertical="center" wrapText="1"/>
    </xf>
    <xf numFmtId="0" fontId="3" fillId="0" borderId="9" xfId="1" applyBorder="1" applyAlignment="1">
      <alignment horizontal="center" vertical="center"/>
    </xf>
    <xf numFmtId="0" fontId="3" fillId="0" borderId="1" xfId="1" applyBorder="1" applyAlignment="1">
      <alignment horizontal="center" vertical="center"/>
    </xf>
    <xf numFmtId="0" fontId="3" fillId="0" borderId="2" xfId="1" applyBorder="1" applyAlignment="1">
      <alignment horizontal="center" vertical="center"/>
    </xf>
    <xf numFmtId="0" fontId="3" fillId="0" borderId="6" xfId="1" applyBorder="1" applyAlignment="1">
      <alignment horizontal="center" vertical="center"/>
    </xf>
    <xf numFmtId="0" fontId="3" fillId="0" borderId="5" xfId="1" applyBorder="1" applyAlignment="1">
      <alignment horizontal="center" vertical="center"/>
    </xf>
    <xf numFmtId="0" fontId="3" fillId="0" borderId="7" xfId="1" applyBorder="1" applyAlignment="1">
      <alignment horizontal="center" vertical="center"/>
    </xf>
    <xf numFmtId="0" fontId="3" fillId="0" borderId="9" xfId="1" applyBorder="1" applyAlignment="1" applyProtection="1">
      <alignment horizontal="left" vertical="center"/>
      <protection locked="0"/>
    </xf>
    <xf numFmtId="0" fontId="3" fillId="0" borderId="1" xfId="1" applyBorder="1" applyAlignment="1" applyProtection="1">
      <alignment horizontal="left" vertical="center"/>
      <protection locked="0"/>
    </xf>
    <xf numFmtId="0" fontId="3" fillId="0" borderId="2" xfId="1" applyBorder="1" applyAlignment="1" applyProtection="1">
      <alignment horizontal="left" vertical="center"/>
      <protection locked="0"/>
    </xf>
    <xf numFmtId="0" fontId="3" fillId="0" borderId="6" xfId="1" applyBorder="1" applyAlignment="1" applyProtection="1">
      <alignment horizontal="left" vertical="center"/>
      <protection locked="0"/>
    </xf>
    <xf numFmtId="0" fontId="3" fillId="0" borderId="5" xfId="1" applyBorder="1" applyAlignment="1" applyProtection="1">
      <alignment horizontal="left" vertical="center"/>
      <protection locked="0"/>
    </xf>
    <xf numFmtId="0" fontId="3" fillId="0" borderId="7" xfId="1" applyBorder="1" applyAlignment="1" applyProtection="1">
      <alignment horizontal="left" vertical="center"/>
      <protection locked="0"/>
    </xf>
    <xf numFmtId="0" fontId="2" fillId="0" borderId="50" xfId="1" applyFont="1" applyBorder="1" applyAlignment="1">
      <alignment horizontal="center" vertical="center" wrapText="1"/>
    </xf>
    <xf numFmtId="0" fontId="2" fillId="0" borderId="46" xfId="1" applyFont="1" applyBorder="1" applyAlignment="1">
      <alignment horizontal="center" vertical="center" wrapText="1"/>
    </xf>
    <xf numFmtId="0" fontId="12" fillId="0" borderId="50" xfId="1" applyFont="1" applyBorder="1" applyAlignment="1" applyProtection="1">
      <alignment horizontal="center" vertical="center"/>
      <protection locked="0"/>
    </xf>
    <xf numFmtId="0" fontId="9" fillId="2" borderId="49" xfId="1" applyFont="1" applyFill="1" applyBorder="1" applyAlignment="1">
      <alignment horizontal="center" vertical="center" wrapText="1"/>
    </xf>
    <xf numFmtId="0" fontId="9" fillId="2" borderId="50" xfId="1" applyFont="1" applyFill="1" applyBorder="1" applyAlignment="1">
      <alignment horizontal="center" vertical="center" wrapText="1"/>
    </xf>
    <xf numFmtId="0" fontId="5" fillId="0" borderId="0" xfId="1" applyFont="1" applyAlignment="1">
      <alignment horizontal="center" vertical="center"/>
    </xf>
    <xf numFmtId="0" fontId="9" fillId="2" borderId="18" xfId="1" applyFont="1" applyFill="1" applyBorder="1" applyAlignment="1">
      <alignment horizontal="center" wrapText="1"/>
    </xf>
    <xf numFmtId="0" fontId="9" fillId="2" borderId="1" xfId="1" applyFont="1" applyFill="1" applyBorder="1" applyAlignment="1">
      <alignment horizontal="center" wrapText="1"/>
    </xf>
    <xf numFmtId="0" fontId="9" fillId="2" borderId="2" xfId="1" applyFont="1" applyFill="1" applyBorder="1" applyAlignment="1">
      <alignment horizontal="center" wrapText="1"/>
    </xf>
    <xf numFmtId="0" fontId="9" fillId="2" borderId="21" xfId="1" applyFont="1" applyFill="1" applyBorder="1" applyAlignment="1">
      <alignment horizontal="center" wrapText="1"/>
    </xf>
    <xf numFmtId="0" fontId="9" fillId="2" borderId="5" xfId="1" applyFont="1" applyFill="1" applyBorder="1" applyAlignment="1">
      <alignment horizontal="center" wrapText="1"/>
    </xf>
    <xf numFmtId="0" fontId="7" fillId="0" borderId="0" xfId="0" applyFont="1" applyAlignment="1">
      <alignment horizontal="center" vertical="center" wrapText="1"/>
    </xf>
    <xf numFmtId="0" fontId="10" fillId="2" borderId="26" xfId="0" applyFont="1" applyFill="1" applyBorder="1" applyAlignment="1">
      <alignment horizontal="left" vertical="center"/>
    </xf>
    <xf numFmtId="0" fontId="10" fillId="2" borderId="25" xfId="0" applyFont="1" applyFill="1" applyBorder="1" applyAlignment="1">
      <alignment horizontal="left" vertical="center"/>
    </xf>
    <xf numFmtId="0" fontId="10" fillId="2" borderId="24" xfId="0" applyFont="1" applyFill="1" applyBorder="1" applyAlignment="1">
      <alignment horizontal="left" vertical="center"/>
    </xf>
    <xf numFmtId="0" fontId="40" fillId="2" borderId="35" xfId="0" applyFont="1" applyFill="1" applyBorder="1" applyAlignment="1">
      <alignment horizontal="left" vertical="center" wrapText="1"/>
    </xf>
    <xf numFmtId="0" fontId="40" fillId="2" borderId="10" xfId="0" applyFont="1" applyFill="1" applyBorder="1" applyAlignment="1">
      <alignment horizontal="left" vertical="center" wrapText="1"/>
    </xf>
    <xf numFmtId="0" fontId="40" fillId="2" borderId="4" xfId="0" applyFont="1" applyFill="1" applyBorder="1" applyAlignment="1">
      <alignment horizontal="left" vertical="center" wrapText="1"/>
    </xf>
    <xf numFmtId="14" fontId="2" fillId="0" borderId="28" xfId="1" applyNumberFormat="1" applyFont="1" applyBorder="1" applyAlignment="1">
      <alignment horizontal="center" vertical="center" wrapText="1"/>
    </xf>
    <xf numFmtId="0" fontId="2" fillId="0" borderId="25" xfId="1" applyFont="1" applyBorder="1" applyAlignment="1">
      <alignment horizontal="center" vertical="center"/>
    </xf>
    <xf numFmtId="0" fontId="2" fillId="0" borderId="23" xfId="1" applyFont="1" applyBorder="1" applyAlignment="1">
      <alignment horizontal="center" vertical="center"/>
    </xf>
    <xf numFmtId="0" fontId="13" fillId="11" borderId="9" xfId="1" applyFont="1" applyFill="1" applyBorder="1" applyAlignment="1">
      <alignment horizontal="center" vertical="center" wrapText="1"/>
    </xf>
    <xf numFmtId="0" fontId="13" fillId="11" borderId="1" xfId="1" applyFont="1" applyFill="1" applyBorder="1" applyAlignment="1">
      <alignment horizontal="center" vertical="center" wrapText="1"/>
    </xf>
    <xf numFmtId="0" fontId="13" fillId="11" borderId="15" xfId="1" applyFont="1" applyFill="1" applyBorder="1" applyAlignment="1">
      <alignment horizontal="center" vertical="center" wrapText="1"/>
    </xf>
    <xf numFmtId="0" fontId="13" fillId="11" borderId="6" xfId="1" applyFont="1" applyFill="1" applyBorder="1" applyAlignment="1">
      <alignment horizontal="center" vertical="center" wrapText="1"/>
    </xf>
    <xf numFmtId="0" fontId="13" fillId="11" borderId="5" xfId="1" applyFont="1" applyFill="1" applyBorder="1" applyAlignment="1">
      <alignment horizontal="center" vertical="center" wrapText="1"/>
    </xf>
    <xf numFmtId="0" fontId="13" fillId="11" borderId="16" xfId="1" applyFont="1" applyFill="1" applyBorder="1" applyAlignment="1">
      <alignment horizontal="center" vertical="center" wrapText="1"/>
    </xf>
    <xf numFmtId="177" fontId="32" fillId="0" borderId="28" xfId="0" applyNumberFormat="1" applyFont="1" applyBorder="1" applyAlignment="1" applyProtection="1">
      <alignment horizontal="left" vertical="center"/>
      <protection locked="0"/>
    </xf>
    <xf numFmtId="177" fontId="32" fillId="0" borderId="25" xfId="0" applyNumberFormat="1" applyFont="1" applyBorder="1" applyAlignment="1" applyProtection="1">
      <alignment horizontal="left" vertical="center"/>
      <protection locked="0"/>
    </xf>
    <xf numFmtId="177" fontId="32" fillId="0" borderId="24" xfId="0" applyNumberFormat="1" applyFont="1" applyBorder="1" applyAlignment="1" applyProtection="1">
      <alignment horizontal="left" vertical="center"/>
      <protection locked="0"/>
    </xf>
    <xf numFmtId="49" fontId="33" fillId="0" borderId="10" xfId="0" applyNumberFormat="1" applyFont="1" applyBorder="1" applyAlignment="1" applyProtection="1">
      <alignment horizontal="left" vertical="center"/>
      <protection locked="0"/>
    </xf>
    <xf numFmtId="49" fontId="33" fillId="0" borderId="4" xfId="0" applyNumberFormat="1" applyFont="1" applyBorder="1" applyAlignment="1" applyProtection="1">
      <alignment horizontal="left" vertical="center"/>
      <protection locked="0"/>
    </xf>
    <xf numFmtId="49" fontId="13" fillId="0" borderId="10" xfId="1" applyNumberFormat="1" applyFont="1" applyBorder="1" applyAlignment="1" applyProtection="1">
      <alignment horizontal="left" vertical="center" wrapText="1"/>
      <protection locked="0"/>
    </xf>
    <xf numFmtId="49" fontId="13" fillId="0" borderId="4" xfId="1" applyNumberFormat="1" applyFont="1" applyBorder="1" applyAlignment="1" applyProtection="1">
      <alignment horizontal="left" vertical="center" wrapText="1"/>
      <protection locked="0"/>
    </xf>
    <xf numFmtId="49" fontId="11" fillId="0" borderId="3" xfId="1" applyNumberFormat="1" applyFont="1" applyBorder="1" applyAlignment="1" applyProtection="1">
      <alignment horizontal="center" vertical="center" wrapText="1"/>
      <protection locked="0"/>
    </xf>
    <xf numFmtId="49" fontId="11" fillId="0" borderId="10" xfId="1" applyNumberFormat="1" applyFont="1" applyBorder="1" applyAlignment="1" applyProtection="1">
      <alignment horizontal="center" vertical="center" wrapText="1"/>
      <protection locked="0"/>
    </xf>
    <xf numFmtId="49" fontId="11" fillId="0" borderId="4" xfId="1" applyNumberFormat="1" applyFont="1" applyBorder="1" applyAlignment="1" applyProtection="1">
      <alignment horizontal="center" vertical="center" wrapText="1"/>
      <protection locked="0"/>
    </xf>
    <xf numFmtId="14" fontId="2" fillId="0" borderId="9" xfId="1" applyNumberFormat="1" applyFont="1" applyBorder="1" applyAlignment="1">
      <alignment horizontal="left" vertical="center" wrapText="1"/>
    </xf>
    <xf numFmtId="14" fontId="2" fillId="0" borderId="1" xfId="1" applyNumberFormat="1" applyFont="1" applyBorder="1" applyAlignment="1">
      <alignment horizontal="left" vertical="center" wrapText="1"/>
    </xf>
    <xf numFmtId="14" fontId="2" fillId="0" borderId="15" xfId="1" applyNumberFormat="1" applyFont="1" applyBorder="1" applyAlignment="1">
      <alignment horizontal="left" vertical="center" wrapText="1"/>
    </xf>
    <xf numFmtId="14" fontId="2" fillId="0" borderId="6" xfId="1" applyNumberFormat="1" applyFont="1" applyBorder="1" applyAlignment="1">
      <alignment horizontal="left" vertical="center" wrapText="1"/>
    </xf>
    <xf numFmtId="14" fontId="2" fillId="0" borderId="5" xfId="1" applyNumberFormat="1" applyFont="1" applyBorder="1" applyAlignment="1">
      <alignment horizontal="left" vertical="center" wrapText="1"/>
    </xf>
    <xf numFmtId="14" fontId="2" fillId="0" borderId="16" xfId="1" applyNumberFormat="1" applyFont="1" applyBorder="1" applyAlignment="1">
      <alignment horizontal="left" vertical="center" wrapText="1"/>
    </xf>
    <xf numFmtId="0" fontId="3" fillId="0" borderId="0" xfId="1" applyAlignment="1">
      <alignment horizontal="center" vertical="center"/>
    </xf>
    <xf numFmtId="0" fontId="3" fillId="0" borderId="8" xfId="1" applyBorder="1" applyAlignment="1">
      <alignment horizontal="center" vertical="center"/>
    </xf>
    <xf numFmtId="0" fontId="34" fillId="0" borderId="9" xfId="5" applyBorder="1" applyAlignment="1" applyProtection="1">
      <alignment horizontal="left" vertical="center"/>
      <protection locked="0"/>
    </xf>
    <xf numFmtId="0" fontId="9" fillId="0" borderId="9" xfId="1" applyFont="1" applyBorder="1" applyAlignment="1">
      <alignment horizontal="center" vertical="center" wrapText="1"/>
    </xf>
    <xf numFmtId="0" fontId="9" fillId="0" borderId="2" xfId="1" applyFont="1" applyBorder="1" applyAlignment="1">
      <alignment horizontal="center" vertical="center" wrapText="1"/>
    </xf>
    <xf numFmtId="0" fontId="9" fillId="0" borderId="11" xfId="1" applyFont="1" applyBorder="1" applyAlignment="1">
      <alignment horizontal="center" vertical="center" wrapText="1"/>
    </xf>
    <xf numFmtId="0" fontId="9" fillId="0" borderId="8" xfId="1" applyFont="1" applyBorder="1" applyAlignment="1">
      <alignment horizontal="center" vertical="center" wrapText="1"/>
    </xf>
    <xf numFmtId="0" fontId="9" fillId="0" borderId="6" xfId="1" applyFont="1" applyBorder="1" applyAlignment="1">
      <alignment horizontal="center" vertical="center" wrapText="1"/>
    </xf>
    <xf numFmtId="0" fontId="9" fillId="0" borderId="7" xfId="1" applyFont="1" applyBorder="1" applyAlignment="1">
      <alignment horizontal="center" vertical="center" wrapText="1"/>
    </xf>
    <xf numFmtId="0" fontId="9" fillId="2" borderId="18" xfId="1" applyFont="1" applyFill="1" applyBorder="1" applyAlignment="1">
      <alignment horizontal="center" vertical="center"/>
    </xf>
    <xf numFmtId="0" fontId="9" fillId="2" borderId="1" xfId="1" applyFont="1" applyFill="1" applyBorder="1" applyAlignment="1">
      <alignment horizontal="center" vertical="center"/>
    </xf>
    <xf numFmtId="0" fontId="9" fillId="2" borderId="19" xfId="1" applyFont="1" applyFill="1" applyBorder="1" applyAlignment="1">
      <alignment horizontal="center" vertical="center"/>
    </xf>
    <xf numFmtId="0" fontId="9" fillId="2" borderId="0" xfId="1" applyFont="1" applyFill="1" applyAlignment="1">
      <alignment horizontal="center" vertical="center"/>
    </xf>
    <xf numFmtId="0" fontId="9" fillId="2" borderId="20" xfId="1" applyFont="1" applyFill="1" applyBorder="1" applyAlignment="1">
      <alignment horizontal="center" vertical="center"/>
    </xf>
    <xf numFmtId="0" fontId="9" fillId="2" borderId="13" xfId="1" applyFont="1" applyFill="1" applyBorder="1" applyAlignment="1">
      <alignment horizontal="center" vertical="center"/>
    </xf>
    <xf numFmtId="0" fontId="3" fillId="9" borderId="3" xfId="1" applyFill="1" applyBorder="1" applyAlignment="1">
      <alignment horizontal="left" vertical="center"/>
    </xf>
    <xf numFmtId="0" fontId="3" fillId="9" borderId="10" xfId="1" applyFill="1" applyBorder="1" applyAlignment="1">
      <alignment horizontal="left" vertical="center"/>
    </xf>
    <xf numFmtId="0" fontId="3" fillId="9" borderId="4" xfId="1" applyFill="1" applyBorder="1" applyAlignment="1">
      <alignment horizontal="left" vertical="center"/>
    </xf>
    <xf numFmtId="0" fontId="3" fillId="6" borderId="9" xfId="1" applyFill="1" applyBorder="1" applyAlignment="1">
      <alignment horizontal="left" vertical="center"/>
    </xf>
    <xf numFmtId="0" fontId="3" fillId="6" borderId="1" xfId="1" applyFill="1" applyBorder="1" applyAlignment="1">
      <alignment horizontal="left" vertical="center"/>
    </xf>
    <xf numFmtId="0" fontId="3" fillId="6" borderId="2" xfId="1" applyFill="1" applyBorder="1" applyAlignment="1">
      <alignment horizontal="left" vertical="center"/>
    </xf>
    <xf numFmtId="0" fontId="3" fillId="6" borderId="6" xfId="1" applyFill="1" applyBorder="1" applyAlignment="1">
      <alignment horizontal="left" vertical="center"/>
    </xf>
    <xf numFmtId="0" fontId="3" fillId="6" borderId="5" xfId="1" applyFill="1" applyBorder="1" applyAlignment="1">
      <alignment horizontal="left" vertical="center"/>
    </xf>
    <xf numFmtId="0" fontId="3" fillId="6" borderId="7" xfId="1" applyFill="1" applyBorder="1" applyAlignment="1">
      <alignment horizontal="left" vertical="center"/>
    </xf>
    <xf numFmtId="0" fontId="9" fillId="0" borderId="1" xfId="1" applyFont="1" applyBorder="1" applyAlignment="1">
      <alignment horizontal="center" vertical="center" wrapText="1"/>
    </xf>
    <xf numFmtId="0" fontId="9" fillId="0" borderId="0" xfId="1" applyFont="1" applyAlignment="1">
      <alignment horizontal="center" vertical="center" wrapText="1"/>
    </xf>
    <xf numFmtId="0" fontId="9" fillId="0" borderId="5" xfId="1" applyFont="1" applyBorder="1" applyAlignment="1">
      <alignment horizontal="center" vertical="center" wrapText="1"/>
    </xf>
    <xf numFmtId="0" fontId="28" fillId="0" borderId="39" xfId="4" applyFont="1" applyBorder="1" applyAlignment="1">
      <alignment horizontal="center" vertical="center" wrapText="1"/>
    </xf>
    <xf numFmtId="0" fontId="28" fillId="0" borderId="40" xfId="4" applyFont="1" applyBorder="1" applyAlignment="1">
      <alignment horizontal="center" vertical="center" wrapText="1"/>
    </xf>
    <xf numFmtId="0" fontId="24" fillId="0" borderId="39" xfId="0" applyFont="1" applyBorder="1" applyAlignment="1">
      <alignment horizontal="center" vertical="center" wrapText="1"/>
    </xf>
    <xf numFmtId="0" fontId="24" fillId="0" borderId="40" xfId="0" applyFont="1" applyBorder="1" applyAlignment="1">
      <alignment horizontal="center" vertical="center" wrapText="1"/>
    </xf>
    <xf numFmtId="0" fontId="26" fillId="0" borderId="20" xfId="0" applyFont="1" applyBorder="1" applyAlignment="1">
      <alignment horizontal="center" vertical="center" wrapText="1"/>
    </xf>
    <xf numFmtId="0" fontId="26" fillId="0" borderId="17" xfId="0" applyFont="1" applyBorder="1" applyAlignment="1">
      <alignment horizontal="center" vertical="center" wrapText="1"/>
    </xf>
    <xf numFmtId="0" fontId="21" fillId="0" borderId="0" xfId="4" applyFont="1" applyAlignment="1">
      <alignment horizontal="left" vertical="center" wrapText="1"/>
    </xf>
    <xf numFmtId="0" fontId="22" fillId="0" borderId="0" xfId="4" applyFont="1" applyAlignment="1">
      <alignment horizontal="left" vertical="center" wrapText="1"/>
    </xf>
    <xf numFmtId="0" fontId="42" fillId="15" borderId="0" xfId="4" applyFont="1" applyFill="1" applyAlignment="1">
      <alignment horizontal="left" vertical="center" wrapText="1"/>
    </xf>
    <xf numFmtId="14" fontId="2" fillId="0" borderId="3" xfId="1" applyNumberFormat="1" applyFont="1" applyBorder="1" applyAlignment="1">
      <alignment horizontal="center" vertical="center" wrapText="1"/>
    </xf>
    <xf numFmtId="14" fontId="2" fillId="0" borderId="10" xfId="1" applyNumberFormat="1" applyFont="1" applyBorder="1" applyAlignment="1">
      <alignment horizontal="center" vertical="center" wrapText="1"/>
    </xf>
    <xf numFmtId="14" fontId="2" fillId="0" borderId="22" xfId="1" applyNumberFormat="1" applyFont="1" applyBorder="1" applyAlignment="1">
      <alignment horizontal="center" vertical="center" wrapText="1"/>
    </xf>
    <xf numFmtId="0" fontId="13" fillId="0" borderId="3" xfId="1" applyFont="1" applyBorder="1" applyAlignment="1" applyProtection="1">
      <alignment horizontal="left" vertical="center"/>
      <protection locked="0"/>
    </xf>
    <xf numFmtId="0" fontId="13" fillId="0" borderId="10" xfId="1" applyFont="1" applyBorder="1" applyAlignment="1" applyProtection="1">
      <alignment horizontal="left" vertical="center"/>
      <protection locked="0"/>
    </xf>
    <xf numFmtId="0" fontId="13" fillId="0" borderId="4" xfId="1" applyFont="1" applyBorder="1" applyAlignment="1" applyProtection="1">
      <alignment horizontal="left" vertical="center"/>
      <protection locked="0"/>
    </xf>
    <xf numFmtId="0" fontId="2" fillId="0" borderId="9" xfId="1" applyFont="1" applyBorder="1" applyAlignment="1">
      <alignment horizontal="center" vertical="center" wrapText="1"/>
    </xf>
    <xf numFmtId="0" fontId="2" fillId="0" borderId="1" xfId="1" applyFont="1" applyBorder="1" applyAlignment="1">
      <alignment horizontal="center" vertical="center" wrapText="1"/>
    </xf>
    <xf numFmtId="0" fontId="2" fillId="0" borderId="15" xfId="1" applyFont="1" applyBorder="1" applyAlignment="1">
      <alignment horizontal="center" vertical="center" wrapText="1"/>
    </xf>
    <xf numFmtId="0" fontId="2" fillId="0" borderId="6" xfId="1" applyFont="1" applyBorder="1" applyAlignment="1">
      <alignment horizontal="center" vertical="center" wrapText="1"/>
    </xf>
    <xf numFmtId="0" fontId="2" fillId="0" borderId="5" xfId="1" applyFont="1" applyBorder="1" applyAlignment="1">
      <alignment horizontal="center" vertical="center" wrapText="1"/>
    </xf>
    <xf numFmtId="0" fontId="2" fillId="0" borderId="16" xfId="1" applyFont="1" applyBorder="1" applyAlignment="1">
      <alignment horizontal="center" vertical="center" wrapText="1"/>
    </xf>
    <xf numFmtId="0" fontId="11" fillId="0" borderId="3" xfId="1" applyFont="1" applyBorder="1" applyAlignment="1" applyProtection="1">
      <alignment horizontal="left" vertical="center"/>
      <protection locked="0"/>
    </xf>
    <xf numFmtId="0" fontId="11" fillId="0" borderId="10" xfId="1" applyFont="1" applyBorder="1" applyAlignment="1" applyProtection="1">
      <alignment horizontal="left" vertical="center"/>
      <protection locked="0"/>
    </xf>
    <xf numFmtId="0" fontId="11" fillId="0" borderId="4" xfId="1" applyFont="1" applyBorder="1" applyAlignment="1" applyProtection="1">
      <alignment horizontal="left" vertical="center"/>
      <protection locked="0"/>
    </xf>
    <xf numFmtId="0" fontId="11" fillId="0" borderId="3" xfId="1" applyFont="1" applyBorder="1" applyAlignment="1" applyProtection="1">
      <alignment horizontal="center" vertical="center"/>
      <protection locked="0"/>
    </xf>
    <xf numFmtId="0" fontId="11" fillId="0" borderId="4" xfId="1" applyFont="1" applyBorder="1" applyAlignment="1" applyProtection="1">
      <alignment horizontal="center" vertical="center"/>
      <protection locked="0"/>
    </xf>
    <xf numFmtId="178" fontId="33" fillId="0" borderId="10" xfId="0" applyNumberFormat="1" applyFont="1" applyBorder="1" applyAlignment="1" applyProtection="1">
      <alignment horizontal="left" vertical="center"/>
      <protection locked="0"/>
    </xf>
    <xf numFmtId="178" fontId="33" fillId="0" borderId="4" xfId="0" applyNumberFormat="1" applyFont="1" applyBorder="1" applyAlignment="1" applyProtection="1">
      <alignment horizontal="left" vertical="center"/>
      <protection locked="0"/>
    </xf>
    <xf numFmtId="0" fontId="11" fillId="0" borderId="3" xfId="1" applyFont="1" applyBorder="1" applyAlignment="1" applyProtection="1">
      <alignment horizontal="left" vertical="center" wrapText="1"/>
      <protection locked="0"/>
    </xf>
    <xf numFmtId="0" fontId="11" fillId="0" borderId="10" xfId="1" applyFont="1" applyBorder="1" applyAlignment="1" applyProtection="1">
      <alignment horizontal="left" vertical="center" wrapText="1"/>
      <protection locked="0"/>
    </xf>
    <xf numFmtId="0" fontId="11" fillId="0" borderId="4" xfId="1" applyFont="1" applyBorder="1" applyAlignment="1" applyProtection="1">
      <alignment horizontal="left" vertical="center" wrapText="1"/>
      <protection locked="0"/>
    </xf>
    <xf numFmtId="49" fontId="11" fillId="0" borderId="3" xfId="1" applyNumberFormat="1" applyFont="1" applyBorder="1" applyAlignment="1" applyProtection="1">
      <alignment horizontal="center" vertical="center"/>
      <protection locked="0"/>
    </xf>
    <xf numFmtId="49" fontId="11" fillId="0" borderId="10" xfId="1" applyNumberFormat="1" applyFont="1" applyBorder="1" applyAlignment="1" applyProtection="1">
      <alignment horizontal="center" vertical="center"/>
      <protection locked="0"/>
    </xf>
    <xf numFmtId="49" fontId="11" fillId="0" borderId="4" xfId="1" applyNumberFormat="1" applyFont="1" applyBorder="1" applyAlignment="1" applyProtection="1">
      <alignment horizontal="center" vertical="center"/>
      <protection locked="0"/>
    </xf>
    <xf numFmtId="0" fontId="13" fillId="0" borderId="22" xfId="1" applyFont="1" applyBorder="1" applyAlignment="1" applyProtection="1">
      <alignment horizontal="left" vertical="center"/>
      <protection locked="0"/>
    </xf>
    <xf numFmtId="0" fontId="11" fillId="0" borderId="6" xfId="1" applyFont="1" applyBorder="1" applyAlignment="1" applyProtection="1">
      <alignment horizontal="left" vertical="center"/>
      <protection locked="0"/>
    </xf>
    <xf numFmtId="0" fontId="11" fillId="0" borderId="5" xfId="1" applyFont="1" applyBorder="1" applyAlignment="1" applyProtection="1">
      <alignment horizontal="left" vertical="center"/>
      <protection locked="0"/>
    </xf>
    <xf numFmtId="0" fontId="11" fillId="0" borderId="16" xfId="1" applyFont="1" applyBorder="1" applyAlignment="1" applyProtection="1">
      <alignment horizontal="left" vertical="center"/>
      <protection locked="0"/>
    </xf>
    <xf numFmtId="0" fontId="13" fillId="0" borderId="6" xfId="1" applyFont="1" applyBorder="1" applyAlignment="1" applyProtection="1">
      <alignment horizontal="left" vertical="center"/>
      <protection locked="0"/>
    </xf>
    <xf numFmtId="0" fontId="13" fillId="0" borderId="5" xfId="1" applyFont="1" applyBorder="1" applyAlignment="1" applyProtection="1">
      <alignment horizontal="left" vertical="center"/>
      <protection locked="0"/>
    </xf>
    <xf numFmtId="0" fontId="13" fillId="0" borderId="16" xfId="1" applyFont="1" applyBorder="1" applyAlignment="1" applyProtection="1">
      <alignment horizontal="left" vertical="center"/>
      <protection locked="0"/>
    </xf>
    <xf numFmtId="0" fontId="11" fillId="0" borderId="12" xfId="1" applyFont="1" applyBorder="1" applyAlignment="1" applyProtection="1">
      <alignment horizontal="left" vertical="center"/>
      <protection locked="0"/>
    </xf>
    <xf numFmtId="0" fontId="11" fillId="0" borderId="13" xfId="1" applyFont="1" applyBorder="1" applyAlignment="1" applyProtection="1">
      <alignment horizontal="left" vertical="center"/>
      <protection locked="0"/>
    </xf>
    <xf numFmtId="0" fontId="11" fillId="0" borderId="17" xfId="1" applyFont="1" applyBorder="1" applyAlignment="1" applyProtection="1">
      <alignment horizontal="left" vertical="center"/>
      <protection locked="0"/>
    </xf>
  </cellXfs>
  <cellStyles count="6">
    <cellStyle name="ハイパーリンク" xfId="5" builtinId="8"/>
    <cellStyle name="標準" xfId="0" builtinId="0"/>
    <cellStyle name="標準 2" xfId="2" xr:uid="{7A6B0CA6-F94B-4538-BCC9-D245202C716F}"/>
    <cellStyle name="標準 3" xfId="3" xr:uid="{00DDE452-A2FD-4247-B3B6-E760CE0D9996}"/>
    <cellStyle name="標準 4" xfId="4" xr:uid="{AEA2616D-0D7E-4532-8A6D-C8AF745DEFFA}"/>
    <cellStyle name="標準_改善申込書（ＢＳ新規）" xfId="1" xr:uid="{00000000-0005-0000-0000-000001000000}"/>
  </cellStyles>
  <dxfs count="71">
    <dxf>
      <fill>
        <patternFill>
          <bgColor theme="0" tint="-0.24994659260841701"/>
        </patternFill>
      </fill>
    </dxf>
    <dxf>
      <fill>
        <patternFill>
          <bgColor theme="0"/>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patternFill>
      </fill>
    </dxf>
    <dxf>
      <fill>
        <patternFill>
          <bgColor theme="0" tint="-0.24994659260841701"/>
        </patternFill>
      </fill>
    </dxf>
    <dxf>
      <fill>
        <patternFill>
          <bgColor theme="0"/>
        </patternFill>
      </fill>
    </dxf>
    <dxf>
      <fill>
        <patternFill>
          <bgColor theme="0" tint="-0.24994659260841701"/>
        </patternFill>
      </fill>
    </dxf>
    <dxf>
      <fill>
        <patternFill>
          <bgColor theme="0" tint="-0.24994659260841701"/>
        </patternFill>
      </fill>
    </dxf>
    <dxf>
      <fill>
        <patternFill>
          <bgColor theme="0"/>
        </patternFill>
      </fill>
    </dxf>
    <dxf>
      <fill>
        <patternFill>
          <bgColor theme="0" tint="-0.24994659260841701"/>
        </patternFill>
      </fill>
    </dxf>
    <dxf>
      <fill>
        <patternFill>
          <bgColor theme="0"/>
        </patternFill>
      </fill>
    </dxf>
    <dxf>
      <fill>
        <patternFill>
          <bgColor theme="0"/>
        </patternFill>
      </fill>
    </dxf>
    <dxf>
      <fill>
        <patternFill>
          <bgColor theme="0" tint="-0.24994659260841701"/>
        </patternFill>
      </fill>
    </dxf>
    <dxf>
      <fill>
        <patternFill>
          <bgColor theme="0"/>
        </patternFill>
      </fill>
    </dxf>
    <dxf>
      <fill>
        <patternFill>
          <bgColor theme="0" tint="-0.24994659260841701"/>
        </patternFill>
      </fill>
    </dxf>
    <dxf>
      <fill>
        <patternFill>
          <bgColor theme="0"/>
        </patternFill>
      </fill>
    </dxf>
    <dxf>
      <fill>
        <patternFill>
          <bgColor theme="0" tint="-0.24994659260841701"/>
        </patternFill>
      </fill>
    </dxf>
    <dxf>
      <fill>
        <patternFill>
          <bgColor rgb="FFFFC000"/>
        </patternFill>
      </fill>
    </dxf>
    <dxf>
      <fill>
        <patternFill>
          <bgColor rgb="FFFFC000"/>
        </patternFill>
      </fill>
    </dxf>
    <dxf>
      <fill>
        <patternFill patternType="solid">
          <fgColor indexed="64"/>
          <bgColor theme="0" tint="-0.34998626667073579"/>
        </patternFill>
      </fill>
    </dxf>
    <dxf>
      <fill>
        <patternFill patternType="solid">
          <fgColor indexed="64"/>
          <bgColor theme="0" tint="-0.34998626667073579"/>
        </patternFill>
      </fill>
    </dxf>
    <dxf>
      <fill>
        <patternFill patternType="solid">
          <fgColor indexed="64"/>
          <bgColor theme="0" tint="-0.34998626667073579"/>
        </patternFill>
      </fill>
    </dxf>
    <dxf>
      <fill>
        <patternFill patternType="solid">
          <fgColor indexed="64"/>
          <bgColor theme="0" tint="-0.34998626667073579"/>
        </patternFill>
      </fill>
    </dxf>
    <dxf>
      <fill>
        <patternFill patternType="solid">
          <fgColor indexed="64"/>
          <bgColor theme="0" tint="-0.34998626667073579"/>
        </patternFill>
      </fill>
    </dxf>
    <dxf>
      <fill>
        <patternFill patternType="solid">
          <fgColor indexed="64"/>
          <bgColor theme="0" tint="-0.34998626667073579"/>
        </patternFill>
      </fill>
    </dxf>
    <dxf>
      <numFmt numFmtId="0" formatCode="General"/>
    </dxf>
    <dxf>
      <fill>
        <patternFill patternType="solid">
          <fgColor indexed="64"/>
          <bgColor theme="0" tint="-0.34998626667073579"/>
        </patternFill>
      </fill>
    </dxf>
    <dxf>
      <fill>
        <patternFill patternType="solid">
          <fgColor indexed="64"/>
          <bgColor theme="0" tint="-0.34998626667073579"/>
        </patternFill>
      </fill>
    </dxf>
    <dxf>
      <fill>
        <patternFill patternType="solid">
          <fgColor indexed="64"/>
          <bgColor theme="0" tint="-0.34998626667073579"/>
        </patternFill>
      </fill>
    </dxf>
    <dxf>
      <fill>
        <patternFill patternType="solid">
          <fgColor indexed="64"/>
          <bgColor theme="0" tint="-0.34998626667073579"/>
        </patternFill>
      </fill>
    </dxf>
    <dxf>
      <fill>
        <patternFill patternType="solid">
          <fgColor indexed="64"/>
          <bgColor theme="0" tint="-0.34998626667073579"/>
        </patternFill>
      </fill>
    </dxf>
    <dxf>
      <fill>
        <patternFill patternType="solid">
          <fgColor indexed="64"/>
          <bgColor theme="0" tint="-0.34998626667073579"/>
        </patternFill>
      </fill>
    </dxf>
    <dxf>
      <numFmt numFmtId="0" formatCode="General"/>
    </dxf>
    <dxf>
      <numFmt numFmtId="176" formatCode="0.00_ "/>
    </dxf>
    <dxf>
      <numFmt numFmtId="176" formatCode="0.00_ "/>
    </dxf>
    <dxf>
      <numFmt numFmtId="176" formatCode="0.00_ "/>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0" tint="-0.499984740745262"/>
        </patternFill>
      </fill>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numFmt numFmtId="19" formatCode="yyyy/m/d"/>
      <alignment horizontal="general" vertical="bottom" textRotation="0" wrapText="1" indent="0" justifyLastLine="0" shrinkToFit="0" readingOrder="0"/>
      <border diagonalUp="0" diagonalDown="0">
        <left/>
        <right/>
        <top style="thin">
          <color theme="4" tint="0.39997558519241921"/>
        </top>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border diagonalUp="0" diagonalDown="0" outline="0">
        <left/>
        <right/>
        <top style="thin">
          <color theme="4" tint="0.39997558519241921"/>
        </top>
        <bottom/>
      </border>
    </dxf>
    <dxf>
      <border outline="0">
        <top style="thin">
          <color theme="4" tint="0.39997558519241921"/>
        </top>
      </border>
    </dxf>
    <dxf>
      <border outline="0">
        <top style="thin">
          <color theme="4" tint="0.39997558519241921"/>
        </top>
        <bottom style="thin">
          <color theme="4" tint="0.39997558519241921"/>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alignment horizontal="general" vertical="bottom" textRotation="0" wrapText="1" indent="0" justifyLastLine="0" shrinkToFit="0" readingOrder="0"/>
    </dxf>
    <dxf>
      <border outline="0">
        <bottom style="thin">
          <color theme="4" tint="0.39997558519241921"/>
        </bottom>
      </border>
    </dxf>
    <dxf>
      <font>
        <b val="0"/>
        <i val="0"/>
        <strike val="0"/>
        <condense val="0"/>
        <extend val="0"/>
        <outline val="0"/>
        <shadow val="0"/>
        <u val="none"/>
        <vertAlign val="baseline"/>
        <sz val="11"/>
        <color theme="1"/>
        <name val="ＭＳ Ｐゴシック"/>
        <family val="3"/>
        <charset val="128"/>
        <scheme val="none"/>
      </font>
      <fill>
        <patternFill patternType="solid">
          <fgColor theme="4" tint="0.79998168889431442"/>
          <bgColor theme="4" tint="0.79998168889431442"/>
        </patternFill>
      </fill>
    </dxf>
  </dxfs>
  <tableStyles count="0" defaultTableStyle="TableStyleMedium2" defaultPivotStyle="PivotStyleLight16"/>
  <colors>
    <mruColors>
      <color rgb="FFFFCCFF"/>
      <color rgb="FFFFFF99"/>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ntt.com/about-us/hp/privacy.html"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support.ntt.com/business/faq/detail/pid2300001v74" TargetMode="External"/></Relationships>
</file>

<file path=xl/drawings/_rels/drawing3.xml.rels><?xml version="1.0" encoding="UTF-8" standalone="yes"?>
<Relationships xmlns="http://schemas.openxmlformats.org/package/2006/relationships"><Relationship Id="rId2" Type="http://schemas.openxmlformats.org/officeDocument/2006/relationships/hyperlink" Target="https://support.ntt.com/business/faq/detail/pid2300001ugl" TargetMode="External"/><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38099</xdr:colOff>
      <xdr:row>30</xdr:row>
      <xdr:rowOff>116416</xdr:rowOff>
    </xdr:from>
    <xdr:to>
      <xdr:col>33</xdr:col>
      <xdr:colOff>254000</xdr:colOff>
      <xdr:row>35</xdr:row>
      <xdr:rowOff>55880</xdr:rowOff>
    </xdr:to>
    <xdr:sp macro="" textlink="">
      <xdr:nvSpPr>
        <xdr:cNvPr id="6146" name="AutoShape 2">
          <a:extLst>
            <a:ext uri="{FF2B5EF4-FFF2-40B4-BE49-F238E27FC236}">
              <a16:creationId xmlns:a16="http://schemas.microsoft.com/office/drawing/2014/main" id="{00000000-0008-0000-0000-000002180000}"/>
            </a:ext>
          </a:extLst>
        </xdr:cNvPr>
        <xdr:cNvSpPr>
          <a:spLocks noChangeArrowheads="1"/>
        </xdr:cNvSpPr>
      </xdr:nvSpPr>
      <xdr:spPr bwMode="auto">
        <a:xfrm>
          <a:off x="38099" y="9503833"/>
          <a:ext cx="9423401" cy="1357630"/>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0" bIns="72000" anchor="t" upright="1"/>
        <a:lstStyle/>
        <a:p>
          <a:pPr algn="l" rtl="0">
            <a:defRPr sz="1000"/>
          </a:pPr>
          <a:r>
            <a:rPr lang="ja-JP" altLang="en-US" sz="1050" b="0" i="0" u="none" strike="noStrike" baseline="0">
              <a:solidFill>
                <a:srgbClr val="000000"/>
              </a:solidFill>
              <a:latin typeface="+mn-ea"/>
              <a:ea typeface="+mn-ea"/>
            </a:rPr>
            <a:t>ご注意事項</a:t>
          </a:r>
        </a:p>
        <a:p>
          <a:pPr algn="l" rtl="0">
            <a:lnSpc>
              <a:spcPts val="1100"/>
            </a:lnSpc>
            <a:defRPr sz="1000"/>
          </a:pPr>
          <a:r>
            <a:rPr lang="en-US" altLang="ja-JP" sz="1050" b="0" i="0" baseline="0">
              <a:solidFill>
                <a:sysClr val="windowText" lastClr="000000"/>
              </a:solidFill>
              <a:effectLst/>
              <a:latin typeface="+mn-ea"/>
              <a:ea typeface="+mn-ea"/>
              <a:cs typeface="+mn-cs"/>
            </a:rPr>
            <a:t>※</a:t>
          </a:r>
          <a:r>
            <a:rPr lang="ja-JP" altLang="en-US" sz="1050" b="0" i="0" baseline="0">
              <a:solidFill>
                <a:sysClr val="windowText" lastClr="000000"/>
              </a:solidFill>
              <a:effectLst/>
              <a:latin typeface="+mn-ea"/>
              <a:ea typeface="+mn-ea"/>
              <a:cs typeface="+mn-cs"/>
            </a:rPr>
            <a:t>マークは入力必須です</a:t>
          </a:r>
          <a:endParaRPr lang="en-US" altLang="ja-JP" sz="1050" b="0" i="0" baseline="0">
            <a:solidFill>
              <a:sysClr val="windowText" lastClr="000000"/>
            </a:solidFill>
            <a:effectLst/>
            <a:latin typeface="+mn-ea"/>
            <a:ea typeface="+mn-ea"/>
            <a:cs typeface="+mn-cs"/>
          </a:endParaRPr>
        </a:p>
        <a:p>
          <a:pPr algn="l" rtl="0">
            <a:lnSpc>
              <a:spcPts val="1100"/>
            </a:lnSpc>
            <a:defRPr sz="1000"/>
          </a:pPr>
          <a:endParaRPr lang="en-US" altLang="ja-JP" sz="1050" b="0" i="0" u="none" strike="noStrike" baseline="0">
            <a:solidFill>
              <a:sysClr val="windowText" lastClr="000000"/>
            </a:solidFill>
            <a:effectLst/>
            <a:latin typeface="+mn-ea"/>
            <a:ea typeface="+mn-ea"/>
            <a:cs typeface="+mn-cs"/>
          </a:endParaRPr>
        </a:p>
        <a:p>
          <a:pPr algn="l" rtl="0">
            <a:lnSpc>
              <a:spcPts val="1100"/>
            </a:lnSpc>
            <a:defRPr sz="1000"/>
          </a:pPr>
          <a:r>
            <a:rPr lang="ja-JP" altLang="en-US" sz="1050" b="0" i="0" u="none" strike="noStrike" baseline="0">
              <a:solidFill>
                <a:sysClr val="windowText" lastClr="000000"/>
              </a:solidFill>
              <a:effectLst/>
              <a:latin typeface="+mn-ea"/>
              <a:ea typeface="+mn-ea"/>
              <a:cs typeface="+mn-cs"/>
            </a:rPr>
            <a:t>（注１）回線契約名義変更はこの用紙ではできません。弊社営業担当または</a:t>
          </a:r>
          <a:r>
            <a:rPr lang="en-US" altLang="ja-JP" sz="1050" b="0" i="0" u="none" strike="noStrike" baseline="0">
              <a:solidFill>
                <a:sysClr val="windowText" lastClr="000000"/>
              </a:solidFill>
              <a:effectLst/>
              <a:latin typeface="+mn-ea"/>
              <a:ea typeface="+mn-ea"/>
              <a:cs typeface="+mn-cs"/>
            </a:rPr>
            <a:t>0120-003300</a:t>
          </a:r>
          <a:r>
            <a:rPr lang="ja-JP" altLang="en-US" sz="1050" b="0" i="0" u="none" strike="noStrike" baseline="0">
              <a:solidFill>
                <a:sysClr val="windowText" lastClr="000000"/>
              </a:solidFill>
              <a:effectLst/>
              <a:latin typeface="+mn-ea"/>
              <a:ea typeface="+mn-ea"/>
              <a:cs typeface="+mn-cs"/>
            </a:rPr>
            <a:t>へお知らせください。</a:t>
          </a:r>
          <a:endParaRPr lang="en-US" altLang="ja-JP" sz="1050" b="0" i="0" u="none" strike="noStrike" baseline="0">
            <a:solidFill>
              <a:sysClr val="windowText" lastClr="000000"/>
            </a:solidFill>
            <a:effectLst/>
            <a:latin typeface="+mn-ea"/>
            <a:ea typeface="+mn-ea"/>
            <a:cs typeface="+mn-cs"/>
          </a:endParaRPr>
        </a:p>
        <a:p>
          <a:pPr algn="l" rtl="0">
            <a:lnSpc>
              <a:spcPts val="1100"/>
            </a:lnSpc>
            <a:defRPr sz="1000"/>
          </a:pPr>
          <a:r>
            <a:rPr lang="ja-JP" altLang="en-US" sz="1050" b="0" i="0" u="none" strike="noStrike" baseline="0">
              <a:solidFill>
                <a:sysClr val="windowText" lastClr="000000"/>
              </a:solidFill>
              <a:latin typeface="+mn-ea"/>
              <a:ea typeface="+mn-ea"/>
            </a:rPr>
            <a:t>名義他変更を弊社にて確認後、受付とします。本申込書が到着して３ヶ月を経過しても確認できない場合、返却することがあります。</a:t>
          </a:r>
        </a:p>
      </xdr:txBody>
    </xdr:sp>
    <xdr:clientData/>
  </xdr:twoCellAnchor>
  <xdr:twoCellAnchor editAs="oneCell">
    <xdr:from>
      <xdr:col>39</xdr:col>
      <xdr:colOff>114300</xdr:colOff>
      <xdr:row>0</xdr:row>
      <xdr:rowOff>76200</xdr:rowOff>
    </xdr:from>
    <xdr:to>
      <xdr:col>39</xdr:col>
      <xdr:colOff>224155</xdr:colOff>
      <xdr:row>2</xdr:row>
      <xdr:rowOff>3810</xdr:rowOff>
    </xdr:to>
    <xdr:sp macro="" textlink="">
      <xdr:nvSpPr>
        <xdr:cNvPr id="6710" name="Text Box 5">
          <a:extLst>
            <a:ext uri="{FF2B5EF4-FFF2-40B4-BE49-F238E27FC236}">
              <a16:creationId xmlns:a16="http://schemas.microsoft.com/office/drawing/2014/main" id="{00000000-0008-0000-0000-0000361A0000}"/>
            </a:ext>
          </a:extLst>
        </xdr:cNvPr>
        <xdr:cNvSpPr txBox="1">
          <a:spLocks noChangeArrowheads="1"/>
        </xdr:cNvSpPr>
      </xdr:nvSpPr>
      <xdr:spPr bwMode="auto">
        <a:xfrm>
          <a:off x="12258675" y="76200"/>
          <a:ext cx="104775"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148168</xdr:colOff>
      <xdr:row>0</xdr:row>
      <xdr:rowOff>64770</xdr:rowOff>
    </xdr:from>
    <xdr:to>
      <xdr:col>28</xdr:col>
      <xdr:colOff>224451</xdr:colOff>
      <xdr:row>3</xdr:row>
      <xdr:rowOff>3810</xdr:rowOff>
    </xdr:to>
    <xdr:sp macro="" textlink="">
      <xdr:nvSpPr>
        <xdr:cNvPr id="6154" name="Text Box 10">
          <a:extLst>
            <a:ext uri="{FF2B5EF4-FFF2-40B4-BE49-F238E27FC236}">
              <a16:creationId xmlns:a16="http://schemas.microsoft.com/office/drawing/2014/main" id="{00000000-0008-0000-0000-00000A180000}"/>
            </a:ext>
          </a:extLst>
        </xdr:cNvPr>
        <xdr:cNvSpPr txBox="1">
          <a:spLocks noChangeArrowheads="1"/>
        </xdr:cNvSpPr>
      </xdr:nvSpPr>
      <xdr:spPr bwMode="auto">
        <a:xfrm>
          <a:off x="2815168" y="64770"/>
          <a:ext cx="4693912" cy="4622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2500"/>
            </a:lnSpc>
            <a:defRPr sz="1000"/>
          </a:pPr>
          <a:r>
            <a:rPr lang="en-US" altLang="ja-JP" sz="2400" b="1" i="0" u="none" strike="noStrike" baseline="0">
              <a:solidFill>
                <a:srgbClr val="000000"/>
              </a:solidFill>
              <a:latin typeface="ＭＳ Ｐゴシック"/>
              <a:ea typeface="ＭＳ Ｐゴシック"/>
            </a:rPr>
            <a:t>BS</a:t>
          </a:r>
          <a:r>
            <a:rPr lang="ja-JP" altLang="en-US" sz="2400" b="1" i="0" u="none" strike="noStrike" baseline="0">
              <a:solidFill>
                <a:srgbClr val="000000"/>
              </a:solidFill>
              <a:latin typeface="ＭＳ Ｐゴシック"/>
              <a:ea typeface="ＭＳ Ｐゴシック"/>
            </a:rPr>
            <a:t>お客様番号変更（付替）申込書</a:t>
          </a:r>
        </a:p>
      </xdr:txBody>
    </xdr:sp>
    <xdr:clientData/>
  </xdr:twoCellAnchor>
  <xdr:twoCellAnchor>
    <xdr:from>
      <xdr:col>0</xdr:col>
      <xdr:colOff>45049</xdr:colOff>
      <xdr:row>0</xdr:row>
      <xdr:rowOff>31711</xdr:rowOff>
    </xdr:from>
    <xdr:to>
      <xdr:col>7</xdr:col>
      <xdr:colOff>148167</xdr:colOff>
      <xdr:row>2</xdr:row>
      <xdr:rowOff>93456</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45049" y="31711"/>
          <a:ext cx="2526701" cy="40041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000" b="1">
              <a:solidFill>
                <a:sysClr val="windowText" lastClr="000000"/>
              </a:solidFill>
            </a:rPr>
            <a:t>ビリングステーション</a:t>
          </a:r>
        </a:p>
      </xdr:txBody>
    </xdr:sp>
    <xdr:clientData/>
  </xdr:twoCellAnchor>
  <xdr:twoCellAnchor>
    <xdr:from>
      <xdr:col>0</xdr:col>
      <xdr:colOff>190500</xdr:colOff>
      <xdr:row>28</xdr:row>
      <xdr:rowOff>3996</xdr:rowOff>
    </xdr:from>
    <xdr:to>
      <xdr:col>36</xdr:col>
      <xdr:colOff>44238</xdr:colOff>
      <xdr:row>30</xdr:row>
      <xdr:rowOff>12489</xdr:rowOff>
    </xdr:to>
    <xdr:sp macro="" textlink="">
      <xdr:nvSpPr>
        <xdr:cNvPr id="10" name="AutoShape 2">
          <a:extLst>
            <a:ext uri="{FF2B5EF4-FFF2-40B4-BE49-F238E27FC236}">
              <a16:creationId xmlns:a16="http://schemas.microsoft.com/office/drawing/2014/main" id="{9DD3F88D-444E-43A8-A008-D5CF216D6384}"/>
            </a:ext>
          </a:extLst>
        </xdr:cNvPr>
        <xdr:cNvSpPr>
          <a:spLocks noChangeArrowheads="1"/>
        </xdr:cNvSpPr>
      </xdr:nvSpPr>
      <xdr:spPr bwMode="auto">
        <a:xfrm>
          <a:off x="190500" y="8901467"/>
          <a:ext cx="10297620" cy="523963"/>
        </a:xfrm>
        <a:prstGeom prst="roundRect">
          <a:avLst>
            <a:gd name="adj" fmla="val 5983"/>
          </a:avLst>
        </a:prstGeom>
        <a:solidFill>
          <a:srgbClr val="FFFF00"/>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08000" rIns="0" bIns="72000" anchor="ctr" anchorCtr="0" upright="1"/>
        <a:lstStyle/>
        <a:p>
          <a:pPr algn="l" rtl="0">
            <a:lnSpc>
              <a:spcPts val="1100"/>
            </a:lnSpc>
            <a:defRPr sz="1000"/>
          </a:pPr>
          <a:r>
            <a:rPr lang="ja-JP" altLang="en-US" sz="2000" b="0" i="0" u="none" strike="noStrike" kern="0" baseline="0">
              <a:solidFill>
                <a:sysClr val="windowText" lastClr="000000"/>
              </a:solidFill>
              <a:effectLst/>
              <a:latin typeface="+mn-ea"/>
              <a:ea typeface="+mn-ea"/>
              <a:cs typeface="+mn-cs"/>
            </a:rPr>
            <a:t>次に「変更別紙」シートの「対象ご請求番号」に変更するご請求番号を記入ください。</a:t>
          </a:r>
          <a:endParaRPr lang="en-US" altLang="ja-JP" sz="2000" b="0" i="0" u="none" strike="noStrike" kern="0" baseline="0">
            <a:solidFill>
              <a:sysClr val="windowText" lastClr="000000"/>
            </a:solidFill>
            <a:effectLst/>
            <a:latin typeface="+mn-ea"/>
            <a:ea typeface="+mn-ea"/>
            <a:cs typeface="+mn-cs"/>
          </a:endParaRPr>
        </a:p>
        <a:p>
          <a:pPr algn="l" rtl="0">
            <a:lnSpc>
              <a:spcPts val="1100"/>
            </a:lnSpc>
            <a:defRPr sz="1000"/>
          </a:pPr>
          <a:endParaRPr lang="en-US" altLang="ja-JP" sz="2000" b="0" i="0" u="none" strike="noStrike" kern="0" baseline="0">
            <a:solidFill>
              <a:sysClr val="windowText" lastClr="000000"/>
            </a:solidFill>
            <a:effectLst/>
            <a:latin typeface="+mn-ea"/>
            <a:ea typeface="+mn-ea"/>
            <a:cs typeface="+mn-cs"/>
          </a:endParaRPr>
        </a:p>
        <a:p>
          <a:pPr algn="l" rtl="0">
            <a:lnSpc>
              <a:spcPts val="1100"/>
            </a:lnSpc>
            <a:defRPr sz="1000"/>
          </a:pPr>
          <a:endParaRPr lang="en-US" altLang="ja-JP" sz="2000" b="0" i="0" u="none" strike="noStrike" kern="0" baseline="0">
            <a:solidFill>
              <a:sysClr val="windowText" lastClr="000000"/>
            </a:solidFill>
            <a:effectLst/>
            <a:latin typeface="+mn-ea"/>
            <a:ea typeface="+mn-ea"/>
            <a:cs typeface="+mn-cs"/>
          </a:endParaRPr>
        </a:p>
        <a:p>
          <a:pPr marL="0" marR="0" lvl="0" indent="0" algn="l" defTabSz="914400" rtl="0" eaLnBrk="1" fontAlgn="auto" latinLnBrk="0" hangingPunct="1">
            <a:lnSpc>
              <a:spcPts val="1100"/>
            </a:lnSpc>
            <a:spcBef>
              <a:spcPts val="0"/>
            </a:spcBef>
            <a:spcAft>
              <a:spcPts val="0"/>
            </a:spcAft>
            <a:buClrTx/>
            <a:buSzTx/>
            <a:buFontTx/>
            <a:buNone/>
            <a:tabLst/>
            <a:defRPr sz="1000"/>
          </a:pPr>
          <a:r>
            <a:rPr kumimoji="0" lang="en-US" altLang="ja-JP" sz="20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mn-ea"/>
              <a:cs typeface="+mn-cs"/>
            </a:rPr>
            <a:t>※</a:t>
          </a:r>
          <a:r>
            <a:rPr kumimoji="0" lang="ja-JP" altLang="en-US" sz="20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mn-ea"/>
              <a:cs typeface="+mn-cs"/>
            </a:rPr>
            <a:t>ファイル形式はエクセルから</a:t>
          </a:r>
          <a:r>
            <a:rPr kumimoji="0" lang="ja-JP" altLang="en-US" sz="2000" b="1" i="0" u="none" strike="noStrike" kern="0" cap="none" spc="0" normalizeH="0" baseline="0" noProof="0">
              <a:ln>
                <a:noFill/>
              </a:ln>
              <a:solidFill>
                <a:srgbClr val="FF0000"/>
              </a:solidFill>
              <a:effectLst/>
              <a:uLnTx/>
              <a:uFillTx/>
              <a:latin typeface="ＭＳ Ｐゴシック" panose="020B0600070205080204" pitchFamily="50" charset="-128"/>
              <a:ea typeface="+mn-ea"/>
              <a:cs typeface="+mn-cs"/>
            </a:rPr>
            <a:t>変えないで</a:t>
          </a:r>
          <a:r>
            <a:rPr kumimoji="0" lang="ja-JP" altLang="en-US" sz="20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mn-ea"/>
              <a:cs typeface="+mn-cs"/>
            </a:rPr>
            <a:t>アップロードしてください。</a:t>
          </a:r>
          <a:endParaRPr kumimoji="0" lang="en-US" altLang="ja-JP" sz="20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mn-ea"/>
            <a:cs typeface="+mn-cs"/>
          </a:endParaRPr>
        </a:p>
        <a:p>
          <a:pPr marL="0" marR="0" lvl="0" indent="0" algn="l" defTabSz="914400" rtl="0" eaLnBrk="1" fontAlgn="auto" latinLnBrk="0" hangingPunct="1">
            <a:lnSpc>
              <a:spcPts val="1100"/>
            </a:lnSpc>
            <a:spcBef>
              <a:spcPts val="0"/>
            </a:spcBef>
            <a:spcAft>
              <a:spcPts val="0"/>
            </a:spcAft>
            <a:buClrTx/>
            <a:buSzTx/>
            <a:buFontTx/>
            <a:buNone/>
            <a:tabLst/>
            <a:defRPr sz="1000"/>
          </a:pPr>
          <a:endParaRPr kumimoji="0" lang="en-US" altLang="ja-JP" sz="20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mn-ea"/>
            <a:cs typeface="+mn-cs"/>
          </a:endParaRPr>
        </a:p>
        <a:p>
          <a:pPr marL="0" marR="0" lvl="0" indent="0" algn="l" defTabSz="914400" rtl="0" eaLnBrk="1" fontAlgn="auto" latinLnBrk="0" hangingPunct="1">
            <a:lnSpc>
              <a:spcPts val="1100"/>
            </a:lnSpc>
            <a:spcBef>
              <a:spcPts val="0"/>
            </a:spcBef>
            <a:spcAft>
              <a:spcPts val="0"/>
            </a:spcAft>
            <a:buClrTx/>
            <a:buSzTx/>
            <a:buFontTx/>
            <a:buNone/>
            <a:tabLst/>
            <a:defRPr sz="1000"/>
          </a:pPr>
          <a:r>
            <a:rPr kumimoji="0" lang="ja-JP" altLang="en-US" sz="18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mn-ea"/>
              <a:cs typeface="+mn-cs"/>
            </a:rPr>
            <a:t>　　（拡張子を</a:t>
          </a:r>
          <a:r>
            <a:rPr kumimoji="0" lang="en-US" altLang="ja-JP" sz="18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mn-ea"/>
              <a:cs typeface="+mn-cs"/>
            </a:rPr>
            <a:t>.xls</a:t>
          </a:r>
          <a:r>
            <a:rPr kumimoji="0" lang="ja-JP" altLang="en-US" sz="18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mn-ea"/>
              <a:cs typeface="+mn-cs"/>
            </a:rPr>
            <a:t>等に変更しないでください。また</a:t>
          </a:r>
          <a:r>
            <a:rPr kumimoji="0" lang="en-US" altLang="ja-JP" sz="18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mn-ea"/>
              <a:cs typeface="+mn-cs"/>
            </a:rPr>
            <a:t>PDF</a:t>
          </a:r>
          <a:r>
            <a:rPr kumimoji="0" lang="ja-JP" altLang="en-US" sz="18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mn-ea"/>
              <a:cs typeface="+mn-cs"/>
            </a:rPr>
            <a:t>形式等に変えないでください。）</a:t>
          </a:r>
          <a:endParaRPr lang="ja-JP" altLang="en-US" sz="1800" b="0" i="0" u="none" strike="noStrike" kern="0" baseline="0">
            <a:solidFill>
              <a:sysClr val="windowText" lastClr="000000"/>
            </a:solidFill>
            <a:latin typeface="+mn-ea"/>
            <a:ea typeface="+mn-ea"/>
          </a:endParaRPr>
        </a:p>
      </xdr:txBody>
    </xdr:sp>
    <xdr:clientData/>
  </xdr:twoCellAnchor>
  <xdr:twoCellAnchor>
    <xdr:from>
      <xdr:col>0</xdr:col>
      <xdr:colOff>192406</xdr:colOff>
      <xdr:row>6</xdr:row>
      <xdr:rowOff>47626</xdr:rowOff>
    </xdr:from>
    <xdr:to>
      <xdr:col>36</xdr:col>
      <xdr:colOff>0</xdr:colOff>
      <xdr:row>7</xdr:row>
      <xdr:rowOff>1595438</xdr:rowOff>
    </xdr:to>
    <xdr:sp macro="" textlink="">
      <xdr:nvSpPr>
        <xdr:cNvPr id="5" name="テキスト ボックス 4">
          <a:extLst>
            <a:ext uri="{FF2B5EF4-FFF2-40B4-BE49-F238E27FC236}">
              <a16:creationId xmlns:a16="http://schemas.microsoft.com/office/drawing/2014/main" id="{85BA3438-1E4A-9341-AB49-050045DE54C0}"/>
            </a:ext>
          </a:extLst>
        </xdr:cNvPr>
        <xdr:cNvSpPr txBox="1"/>
      </xdr:nvSpPr>
      <xdr:spPr>
        <a:xfrm>
          <a:off x="192406" y="1512095"/>
          <a:ext cx="12309157" cy="3262312"/>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600" b="1">
              <a:latin typeface="+mn-ea"/>
              <a:ea typeface="+mn-ea"/>
            </a:rPr>
            <a:t>＜必ずご確認ください＞本申込は以下に同意したうえでお申込したものとみなします</a:t>
          </a:r>
          <a:endParaRPr kumimoji="1" lang="en-US" altLang="ja-JP" sz="1600" b="1">
            <a:latin typeface="+mn-ea"/>
            <a:ea typeface="+mn-ea"/>
          </a:endParaRPr>
        </a:p>
        <a:p>
          <a:r>
            <a:rPr kumimoji="1" lang="ja-JP" altLang="en-US" sz="1600" b="1">
              <a:latin typeface="+mn-ea"/>
              <a:ea typeface="+mn-ea"/>
            </a:rPr>
            <a:t>①</a:t>
          </a:r>
          <a:r>
            <a:rPr kumimoji="1" lang="en-US" altLang="ja-JP" sz="1600" b="1">
              <a:latin typeface="+mn-ea"/>
              <a:ea typeface="+mn-ea"/>
            </a:rPr>
            <a:t>BS</a:t>
          </a:r>
          <a:r>
            <a:rPr kumimoji="1" lang="ja-JP" altLang="en-US" sz="1600" b="1">
              <a:latin typeface="+mn-ea"/>
              <a:ea typeface="+mn-ea"/>
            </a:rPr>
            <a:t>お客様番号間のご請求の移動は</a:t>
          </a:r>
          <a:r>
            <a:rPr kumimoji="1" lang="ja-JP" altLang="en-US" sz="1600" b="1">
              <a:solidFill>
                <a:srgbClr val="FF0000"/>
              </a:solidFill>
              <a:latin typeface="+mn-ea"/>
              <a:ea typeface="+mn-ea"/>
            </a:rPr>
            <a:t>未来分から（設定完了後のご請求から）</a:t>
          </a:r>
          <a:r>
            <a:rPr kumimoji="1" lang="ja-JP" altLang="en-US" sz="1600" b="1">
              <a:latin typeface="+mn-ea"/>
              <a:ea typeface="+mn-ea"/>
            </a:rPr>
            <a:t>です。</a:t>
          </a:r>
          <a:endParaRPr kumimoji="1" lang="en-US" altLang="ja-JP" sz="1600" b="1">
            <a:latin typeface="+mn-ea"/>
            <a:ea typeface="+mn-ea"/>
          </a:endParaRPr>
        </a:p>
        <a:p>
          <a:r>
            <a:rPr kumimoji="1" lang="ja-JP" altLang="en-US" sz="1600" b="1">
              <a:latin typeface="+mn-ea"/>
              <a:ea typeface="+mn-ea"/>
            </a:rPr>
            <a:t>　弊社で変更完了するまでに</a:t>
          </a:r>
          <a:r>
            <a:rPr kumimoji="1" lang="ja-JP" altLang="en-US" sz="1600" b="1">
              <a:solidFill>
                <a:srgbClr val="FF0000"/>
              </a:solidFill>
              <a:latin typeface="+mn-ea"/>
              <a:ea typeface="+mn-ea"/>
            </a:rPr>
            <a:t>発行された適格請求書は移行されません。</a:t>
          </a:r>
          <a:endParaRPr kumimoji="1" lang="en-US" altLang="ja-JP" sz="1600" b="1">
            <a:latin typeface="+mn-ea"/>
            <a:ea typeface="+mn-ea"/>
          </a:endParaRPr>
        </a:p>
        <a:p>
          <a:r>
            <a:rPr kumimoji="1" lang="ja-JP" altLang="en-US" sz="1600" b="1">
              <a:latin typeface="+mn-ea"/>
              <a:ea typeface="+mn-ea"/>
            </a:rPr>
            <a:t>　既発行分は旧の</a:t>
          </a:r>
          <a:r>
            <a:rPr kumimoji="1" lang="en-US" altLang="ja-JP" sz="1600" b="1">
              <a:latin typeface="+mn-ea"/>
              <a:ea typeface="+mn-ea"/>
            </a:rPr>
            <a:t>BS</a:t>
          </a:r>
          <a:r>
            <a:rPr kumimoji="1" lang="ja-JP" altLang="en-US" sz="1600" b="1">
              <a:latin typeface="+mn-ea"/>
              <a:ea typeface="+mn-ea"/>
            </a:rPr>
            <a:t>お客様番号に残りますので、ログイン情報を紛失しないようお願いします。</a:t>
          </a:r>
          <a:endParaRPr kumimoji="1" lang="en-US" altLang="ja-JP" sz="1600" b="1">
            <a:latin typeface="+mn-ea"/>
            <a:ea typeface="+mn-ea"/>
          </a:endParaRPr>
        </a:p>
        <a:p>
          <a:r>
            <a:rPr kumimoji="1" lang="ja-JP" altLang="en-US" sz="1600" b="1">
              <a:latin typeface="+mn-ea"/>
              <a:ea typeface="+mn-ea"/>
            </a:rPr>
            <a:t>　またはあらかじめお手元にダウンロードして保管してください。</a:t>
          </a:r>
          <a:endParaRPr kumimoji="1" lang="en-US" altLang="ja-JP" sz="1600" b="1">
            <a:latin typeface="+mn-ea"/>
            <a:ea typeface="+mn-ea"/>
          </a:endParaRPr>
        </a:p>
        <a:p>
          <a:endParaRPr kumimoji="1" lang="en-US" altLang="ja-JP" sz="1600" b="1">
            <a:latin typeface="+mn-ea"/>
            <a:ea typeface="+mn-ea"/>
          </a:endParaRPr>
        </a:p>
        <a:p>
          <a:r>
            <a:rPr kumimoji="1" lang="ja-JP" altLang="en-US" sz="1600" b="1">
              <a:latin typeface="+mn-ea"/>
              <a:ea typeface="+mn-ea"/>
            </a:rPr>
            <a:t>②変更完了し次第、変更後の</a:t>
          </a:r>
          <a:r>
            <a:rPr kumimoji="1" lang="en-US" altLang="ja-JP" sz="1600" b="1">
              <a:latin typeface="+mn-ea"/>
              <a:ea typeface="+mn-ea"/>
            </a:rPr>
            <a:t>BS</a:t>
          </a:r>
          <a:r>
            <a:rPr kumimoji="1" lang="ja-JP" altLang="en-US" sz="1600" b="1">
              <a:latin typeface="+mn-ea"/>
              <a:ea typeface="+mn-ea"/>
            </a:rPr>
            <a:t>お客様番号に対してログインして情報がご覧になれます。</a:t>
          </a:r>
          <a:endParaRPr kumimoji="1" lang="en-US" altLang="ja-JP" sz="1600" b="1">
            <a:latin typeface="+mn-ea"/>
            <a:ea typeface="+mn-ea"/>
          </a:endParaRPr>
        </a:p>
        <a:p>
          <a:r>
            <a:rPr kumimoji="1" lang="ja-JP" altLang="en-US" sz="1600" b="1">
              <a:latin typeface="+mn-ea"/>
              <a:ea typeface="+mn-ea"/>
            </a:rPr>
            <a:t>　</a:t>
          </a:r>
          <a:r>
            <a:rPr kumimoji="1" lang="ja-JP" altLang="en-US" sz="1600" b="1">
              <a:solidFill>
                <a:srgbClr val="FF0000"/>
              </a:solidFill>
              <a:latin typeface="+mn-ea"/>
              <a:ea typeface="+mn-ea"/>
            </a:rPr>
            <a:t>完了通知メールは送られません</a:t>
          </a:r>
          <a:r>
            <a:rPr kumimoji="1" lang="ja-JP" altLang="en-US" sz="1600" b="1">
              <a:latin typeface="+mn-ea"/>
              <a:ea typeface="+mn-ea"/>
            </a:rPr>
            <a:t>。また設定変更</a:t>
          </a:r>
          <a:r>
            <a:rPr kumimoji="1" lang="ja-JP" altLang="en-US" sz="1600" b="1">
              <a:solidFill>
                <a:srgbClr val="FF0000"/>
              </a:solidFill>
              <a:latin typeface="+mn-ea"/>
              <a:ea typeface="+mn-ea"/>
            </a:rPr>
            <a:t>タイミングはご指定できません</a:t>
          </a:r>
          <a:r>
            <a:rPr kumimoji="1" lang="ja-JP" altLang="en-US" sz="1600" b="1">
              <a:latin typeface="+mn-ea"/>
              <a:ea typeface="+mn-ea"/>
            </a:rPr>
            <a:t>のでご了承ください。</a:t>
          </a:r>
          <a:endParaRPr kumimoji="1" lang="en-US" altLang="ja-JP" sz="1600" b="1">
            <a:latin typeface="+mn-ea"/>
            <a:ea typeface="+mn-ea"/>
          </a:endParaRPr>
        </a:p>
        <a:p>
          <a:endParaRPr kumimoji="1" lang="en-US" altLang="ja-JP" sz="1600" b="1">
            <a:latin typeface="+mn-ea"/>
            <a:ea typeface="+mn-ea"/>
          </a:endParaRPr>
        </a:p>
        <a:p>
          <a:r>
            <a:rPr kumimoji="1" lang="ja-JP" altLang="en-US" sz="1600" b="1">
              <a:latin typeface="+mn-ea"/>
              <a:ea typeface="+mn-ea"/>
            </a:rPr>
            <a:t>③現在、回線番号別料金内訳書を郵送でもご利用中で、かつ</a:t>
          </a:r>
          <a:r>
            <a:rPr kumimoji="1" lang="en-US" altLang="ja-JP" sz="1600" b="1">
              <a:latin typeface="+mn-ea"/>
              <a:ea typeface="+mn-ea"/>
            </a:rPr>
            <a:t>R</a:t>
          </a:r>
          <a:r>
            <a:rPr kumimoji="1" lang="ja-JP" altLang="en-US" sz="1600" b="1">
              <a:latin typeface="+mn-ea"/>
              <a:ea typeface="+mn-ea"/>
            </a:rPr>
            <a:t>から始まるご請求番号の場合、</a:t>
          </a:r>
          <a:endParaRPr kumimoji="1" lang="en-US" altLang="ja-JP" sz="1600" b="1">
            <a:latin typeface="+mn-ea"/>
            <a:ea typeface="+mn-ea"/>
          </a:endParaRPr>
        </a:p>
        <a:p>
          <a:r>
            <a:rPr kumimoji="1" lang="ja-JP" altLang="en-US" sz="1600" b="1">
              <a:latin typeface="+mn-ea"/>
              <a:ea typeface="+mn-ea"/>
            </a:rPr>
            <a:t>　こちらの付替申込をいただくことで</a:t>
          </a:r>
          <a:r>
            <a:rPr kumimoji="1" lang="ja-JP" altLang="en-US" sz="1600" b="1">
              <a:solidFill>
                <a:srgbClr val="FF0000"/>
              </a:solidFill>
              <a:latin typeface="+mn-ea"/>
              <a:ea typeface="+mn-ea"/>
            </a:rPr>
            <a:t>郵送での提供がなくなり、</a:t>
          </a:r>
          <a:r>
            <a:rPr kumimoji="1" lang="ja-JP" altLang="en-US" sz="1600" b="1">
              <a:latin typeface="+mn-ea"/>
              <a:ea typeface="+mn-ea"/>
            </a:rPr>
            <a:t>　</a:t>
          </a:r>
          <a:r>
            <a:rPr kumimoji="1" lang="ja-JP" altLang="en-US" sz="1600" b="1">
              <a:solidFill>
                <a:srgbClr val="FF0000"/>
              </a:solidFill>
              <a:latin typeface="+mn-ea"/>
              <a:ea typeface="+mn-ea"/>
            </a:rPr>
            <a:t>ビリングステーションのみでの提供となります。</a:t>
          </a:r>
          <a:endParaRPr kumimoji="1" lang="en-US" altLang="ja-JP" sz="1600" b="1">
            <a:solidFill>
              <a:srgbClr val="FF0000"/>
            </a:solidFill>
            <a:latin typeface="+mn-ea"/>
            <a:ea typeface="+mn-ea"/>
          </a:endParaRPr>
        </a:p>
        <a:p>
          <a:r>
            <a:rPr kumimoji="1" lang="ja-JP" altLang="en-US" sz="1600" b="1">
              <a:solidFill>
                <a:srgbClr val="FF0000"/>
              </a:solidFill>
              <a:latin typeface="+mn-ea"/>
              <a:ea typeface="+mn-ea"/>
            </a:rPr>
            <a:t>　</a:t>
          </a:r>
          <a:r>
            <a:rPr kumimoji="1" lang="ja-JP" altLang="en-US" sz="1600" b="1">
              <a:latin typeface="+mn-ea"/>
              <a:ea typeface="+mn-ea"/>
            </a:rPr>
            <a:t>郵送での提供もご希望される場合は別途お問合せください。</a:t>
          </a:r>
        </a:p>
      </xdr:txBody>
    </xdr:sp>
    <xdr:clientData/>
  </xdr:twoCellAnchor>
  <xdr:oneCellAnchor>
    <xdr:from>
      <xdr:col>2</xdr:col>
      <xdr:colOff>166687</xdr:colOff>
      <xdr:row>8</xdr:row>
      <xdr:rowOff>0</xdr:rowOff>
    </xdr:from>
    <xdr:ext cx="1811265" cy="275717"/>
    <xdr:sp macro="" textlink="">
      <xdr:nvSpPr>
        <xdr:cNvPr id="3" name="テキスト ボックス 2">
          <a:extLst>
            <a:ext uri="{FF2B5EF4-FFF2-40B4-BE49-F238E27FC236}">
              <a16:creationId xmlns:a16="http://schemas.microsoft.com/office/drawing/2014/main" id="{BB8F6AA8-9D50-76C6-1730-3CB871F05361}"/>
            </a:ext>
          </a:extLst>
        </xdr:cNvPr>
        <xdr:cNvSpPr txBox="1"/>
      </xdr:nvSpPr>
      <xdr:spPr>
        <a:xfrm>
          <a:off x="1095375" y="4893469"/>
          <a:ext cx="1811265"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marR="0" lvl="0" indent="0" defTabSz="914400" rtl="0" eaLnBrk="1" fontAlgn="auto" latinLnBrk="0" hangingPunct="1">
            <a:lnSpc>
              <a:spcPct val="100000"/>
            </a:lnSpc>
            <a:spcBef>
              <a:spcPts val="0"/>
            </a:spcBef>
            <a:spcAft>
              <a:spcPts val="0"/>
            </a:spcAft>
            <a:buClrTx/>
            <a:buSzTx/>
            <a:buFontTx/>
            <a:buNone/>
            <a:tabLst/>
            <a:defRPr/>
          </a:pPr>
          <a:r>
            <a:rPr lang="ja-JP" altLang="en-US" sz="1100" b="0" i="0" baseline="0">
              <a:solidFill>
                <a:schemeClr val="tx1"/>
              </a:solidFill>
              <a:effectLst/>
              <a:latin typeface="+mn-lt"/>
              <a:ea typeface="+mn-ea"/>
              <a:cs typeface="+mn-cs"/>
            </a:rPr>
            <a:t>（</a:t>
          </a:r>
          <a:r>
            <a:rPr lang="en-US" altLang="ja-JP" sz="1100" b="0" i="0" baseline="0">
              <a:solidFill>
                <a:schemeClr val="tx1"/>
              </a:solidFill>
              <a:effectLst/>
              <a:latin typeface="+mn-lt"/>
              <a:ea typeface="+mn-ea"/>
              <a:cs typeface="+mn-cs"/>
            </a:rPr>
            <a:t>※</a:t>
          </a:r>
          <a:r>
            <a:rPr lang="ja-JP" altLang="ja-JP" sz="1100" b="0" i="0" baseline="0">
              <a:solidFill>
                <a:schemeClr val="tx1"/>
              </a:solidFill>
              <a:effectLst/>
              <a:latin typeface="+mn-lt"/>
              <a:ea typeface="+mn-ea"/>
              <a:cs typeface="+mn-cs"/>
            </a:rPr>
            <a:t>マークは入力必須で</a:t>
          </a:r>
          <a:r>
            <a:rPr lang="ja-JP" altLang="en-US" sz="1100" b="0" i="0" baseline="0">
              <a:solidFill>
                <a:schemeClr val="tx1"/>
              </a:solidFill>
              <a:effectLst/>
              <a:latin typeface="+mn-lt"/>
              <a:ea typeface="+mn-ea"/>
              <a:cs typeface="+mn-cs"/>
            </a:rPr>
            <a:t>す）</a:t>
          </a:r>
          <a:endParaRPr lang="ja-JP" altLang="ja-JP">
            <a:effectLst/>
          </a:endParaRPr>
        </a:p>
      </xdr:txBody>
    </xdr:sp>
    <xdr:clientData/>
  </xdr:oneCellAnchor>
  <xdr:twoCellAnchor>
    <xdr:from>
      <xdr:col>10</xdr:col>
      <xdr:colOff>71437</xdr:colOff>
      <xdr:row>5</xdr:row>
      <xdr:rowOff>23813</xdr:rowOff>
    </xdr:from>
    <xdr:to>
      <xdr:col>23</xdr:col>
      <xdr:colOff>0</xdr:colOff>
      <xdr:row>5</xdr:row>
      <xdr:rowOff>202406</xdr:rowOff>
    </xdr:to>
    <xdr:sp macro="" textlink="">
      <xdr:nvSpPr>
        <xdr:cNvPr id="4" name="正方形/長方形 3">
          <a:hlinkClick xmlns:r="http://schemas.openxmlformats.org/officeDocument/2006/relationships" r:id="rId1"/>
          <a:extLst>
            <a:ext uri="{FF2B5EF4-FFF2-40B4-BE49-F238E27FC236}">
              <a16:creationId xmlns:a16="http://schemas.microsoft.com/office/drawing/2014/main" id="{06451C72-8451-1FA8-CAD8-CBEB01852C5A}"/>
            </a:ext>
          </a:extLst>
        </xdr:cNvPr>
        <xdr:cNvSpPr/>
      </xdr:nvSpPr>
      <xdr:spPr>
        <a:xfrm>
          <a:off x="4119562" y="940594"/>
          <a:ext cx="3167063" cy="178593"/>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29</xdr:col>
      <xdr:colOff>35719</xdr:colOff>
      <xdr:row>0</xdr:row>
      <xdr:rowOff>107156</xdr:rowOff>
    </xdr:from>
    <xdr:to>
      <xdr:col>36</xdr:col>
      <xdr:colOff>23514</xdr:colOff>
      <xdr:row>3</xdr:row>
      <xdr:rowOff>166686</xdr:rowOff>
    </xdr:to>
    <xdr:pic>
      <xdr:nvPicPr>
        <xdr:cNvPr id="6" name="図 5">
          <a:extLst>
            <a:ext uri="{FF2B5EF4-FFF2-40B4-BE49-F238E27FC236}">
              <a16:creationId xmlns:a16="http://schemas.microsoft.com/office/drawing/2014/main" id="{3AE9AD29-70FF-400D-8BEB-67E8B4AF047C}"/>
            </a:ext>
          </a:extLst>
        </xdr:cNvPr>
        <xdr:cNvPicPr>
          <a:picLocks noChangeAspect="1"/>
        </xdr:cNvPicPr>
      </xdr:nvPicPr>
      <xdr:blipFill>
        <a:blip xmlns:r="http://schemas.openxmlformats.org/officeDocument/2006/relationships" r:embed="rId2"/>
        <a:stretch>
          <a:fillRect/>
        </a:stretch>
      </xdr:blipFill>
      <xdr:spPr>
        <a:xfrm>
          <a:off x="8977313" y="107156"/>
          <a:ext cx="3547764" cy="55959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133349</xdr:colOff>
      <xdr:row>5</xdr:row>
      <xdr:rowOff>538480</xdr:rowOff>
    </xdr:from>
    <xdr:to>
      <xdr:col>36</xdr:col>
      <xdr:colOff>95565</xdr:colOff>
      <xdr:row>7</xdr:row>
      <xdr:rowOff>911224</xdr:rowOff>
    </xdr:to>
    <xdr:sp macro="" textlink="">
      <xdr:nvSpPr>
        <xdr:cNvPr id="12" name="テキスト ボックス 11">
          <a:extLst>
            <a:ext uri="{FF2B5EF4-FFF2-40B4-BE49-F238E27FC236}">
              <a16:creationId xmlns:a16="http://schemas.microsoft.com/office/drawing/2014/main" id="{CE84B24F-75DE-4218-91CA-298478AC9D4E}"/>
            </a:ext>
          </a:extLst>
        </xdr:cNvPr>
        <xdr:cNvSpPr txBox="1"/>
      </xdr:nvSpPr>
      <xdr:spPr>
        <a:xfrm>
          <a:off x="133349" y="1459230"/>
          <a:ext cx="11019154" cy="3134994"/>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2000">
              <a:latin typeface="+mn-ea"/>
              <a:ea typeface="+mn-ea"/>
            </a:rPr>
            <a:t>＜必ずご確認ください＞本申込は以下に同意したうえでお申込したものとみなします</a:t>
          </a:r>
          <a:endParaRPr kumimoji="1" lang="en-US" altLang="ja-JP" sz="2000">
            <a:latin typeface="+mn-ea"/>
            <a:ea typeface="+mn-ea"/>
          </a:endParaRPr>
        </a:p>
        <a:p>
          <a:r>
            <a:rPr kumimoji="1" lang="ja-JP" altLang="en-US" sz="2000">
              <a:latin typeface="+mn-ea"/>
              <a:ea typeface="+mn-ea"/>
            </a:rPr>
            <a:t>①</a:t>
          </a:r>
          <a:r>
            <a:rPr kumimoji="1" lang="en-US" altLang="ja-JP" sz="2000">
              <a:latin typeface="+mn-ea"/>
              <a:ea typeface="+mn-ea"/>
            </a:rPr>
            <a:t>BS</a:t>
          </a:r>
          <a:r>
            <a:rPr kumimoji="1" lang="ja-JP" altLang="en-US" sz="2000">
              <a:latin typeface="+mn-ea"/>
              <a:ea typeface="+mn-ea"/>
            </a:rPr>
            <a:t>お客様番号間のご請求の移動は</a:t>
          </a:r>
          <a:r>
            <a:rPr kumimoji="1" lang="ja-JP" altLang="en-US" sz="2000" b="1">
              <a:solidFill>
                <a:srgbClr val="FF0000"/>
              </a:solidFill>
              <a:latin typeface="+mn-ea"/>
              <a:ea typeface="+mn-ea"/>
            </a:rPr>
            <a:t>未来分から（設定完了後のご請求から）</a:t>
          </a:r>
          <a:r>
            <a:rPr kumimoji="1" lang="ja-JP" altLang="en-US" sz="2000">
              <a:latin typeface="+mn-ea"/>
              <a:ea typeface="+mn-ea"/>
            </a:rPr>
            <a:t>です。</a:t>
          </a:r>
          <a:endParaRPr kumimoji="1" lang="en-US" altLang="ja-JP" sz="2000">
            <a:latin typeface="+mn-ea"/>
            <a:ea typeface="+mn-ea"/>
          </a:endParaRPr>
        </a:p>
        <a:p>
          <a:r>
            <a:rPr kumimoji="1" lang="ja-JP" altLang="en-US" sz="2000">
              <a:latin typeface="+mn-ea"/>
              <a:ea typeface="+mn-ea"/>
            </a:rPr>
            <a:t>　弊社で変更完了するまでに</a:t>
          </a:r>
          <a:r>
            <a:rPr kumimoji="1" lang="ja-JP" altLang="en-US" sz="2000" b="1">
              <a:solidFill>
                <a:srgbClr val="FF0000"/>
              </a:solidFill>
              <a:latin typeface="+mn-ea"/>
              <a:ea typeface="+mn-ea"/>
            </a:rPr>
            <a:t>発行された適格請求書は移行されません。</a:t>
          </a:r>
          <a:endParaRPr kumimoji="1" lang="en-US" altLang="ja-JP" sz="2000">
            <a:latin typeface="+mn-ea"/>
            <a:ea typeface="+mn-ea"/>
          </a:endParaRPr>
        </a:p>
        <a:p>
          <a:r>
            <a:rPr kumimoji="1" lang="ja-JP" altLang="en-US" sz="2000">
              <a:latin typeface="+mn-ea"/>
              <a:ea typeface="+mn-ea"/>
            </a:rPr>
            <a:t>　既発行分は旧の</a:t>
          </a:r>
          <a:r>
            <a:rPr kumimoji="1" lang="en-US" altLang="ja-JP" sz="2000">
              <a:latin typeface="+mn-ea"/>
              <a:ea typeface="+mn-ea"/>
            </a:rPr>
            <a:t>BS</a:t>
          </a:r>
          <a:r>
            <a:rPr kumimoji="1" lang="ja-JP" altLang="en-US" sz="2000">
              <a:latin typeface="+mn-ea"/>
              <a:ea typeface="+mn-ea"/>
            </a:rPr>
            <a:t>お客様番号に残りますので、ログイン情報を紛失しないようお願いします。</a:t>
          </a:r>
          <a:endParaRPr kumimoji="1" lang="en-US" altLang="ja-JP" sz="2000">
            <a:latin typeface="+mn-ea"/>
            <a:ea typeface="+mn-ea"/>
          </a:endParaRPr>
        </a:p>
        <a:p>
          <a:r>
            <a:rPr kumimoji="1" lang="ja-JP" altLang="en-US" sz="2000">
              <a:latin typeface="+mn-ea"/>
              <a:ea typeface="+mn-ea"/>
            </a:rPr>
            <a:t>　またはあらかじめお手元にダウンロードして保管してください。</a:t>
          </a:r>
          <a:endParaRPr kumimoji="1" lang="en-US" altLang="ja-JP" sz="2000">
            <a:latin typeface="+mn-ea"/>
            <a:ea typeface="+mn-ea"/>
          </a:endParaRPr>
        </a:p>
        <a:p>
          <a:endParaRPr kumimoji="1" lang="en-US" altLang="ja-JP" sz="2000">
            <a:latin typeface="+mn-ea"/>
            <a:ea typeface="+mn-ea"/>
          </a:endParaRPr>
        </a:p>
        <a:p>
          <a:r>
            <a:rPr kumimoji="1" lang="ja-JP" altLang="en-US" sz="2000">
              <a:latin typeface="+mn-ea"/>
              <a:ea typeface="+mn-ea"/>
            </a:rPr>
            <a:t>②変更完了し次第、変更後の</a:t>
          </a:r>
          <a:r>
            <a:rPr kumimoji="1" lang="en-US" altLang="ja-JP" sz="2000">
              <a:latin typeface="+mn-ea"/>
              <a:ea typeface="+mn-ea"/>
            </a:rPr>
            <a:t>BS</a:t>
          </a:r>
          <a:r>
            <a:rPr kumimoji="1" lang="ja-JP" altLang="en-US" sz="2000">
              <a:latin typeface="+mn-ea"/>
              <a:ea typeface="+mn-ea"/>
            </a:rPr>
            <a:t>お客様番号に対してログインして情報がご覧になれます。</a:t>
          </a:r>
          <a:endParaRPr kumimoji="1" lang="en-US" altLang="ja-JP" sz="2000">
            <a:latin typeface="+mn-ea"/>
            <a:ea typeface="+mn-ea"/>
          </a:endParaRPr>
        </a:p>
        <a:p>
          <a:r>
            <a:rPr kumimoji="1" lang="ja-JP" altLang="en-US" sz="2000">
              <a:latin typeface="+mn-ea"/>
              <a:ea typeface="+mn-ea"/>
            </a:rPr>
            <a:t>　</a:t>
          </a:r>
          <a:r>
            <a:rPr kumimoji="1" lang="ja-JP" altLang="en-US" sz="2000" b="1">
              <a:solidFill>
                <a:srgbClr val="FF0000"/>
              </a:solidFill>
              <a:latin typeface="+mn-ea"/>
              <a:ea typeface="+mn-ea"/>
            </a:rPr>
            <a:t>完了通知メールは送られません</a:t>
          </a:r>
          <a:r>
            <a:rPr kumimoji="1" lang="ja-JP" altLang="en-US" sz="2000">
              <a:latin typeface="+mn-ea"/>
              <a:ea typeface="+mn-ea"/>
            </a:rPr>
            <a:t>。また設定変更</a:t>
          </a:r>
          <a:r>
            <a:rPr kumimoji="1" lang="ja-JP" altLang="en-US" sz="2000" b="1">
              <a:solidFill>
                <a:srgbClr val="FF0000"/>
              </a:solidFill>
              <a:latin typeface="+mn-ea"/>
              <a:ea typeface="+mn-ea"/>
            </a:rPr>
            <a:t>タイミングはご指定できません</a:t>
          </a:r>
          <a:r>
            <a:rPr kumimoji="1" lang="ja-JP" altLang="en-US" sz="2000">
              <a:latin typeface="+mn-ea"/>
              <a:ea typeface="+mn-ea"/>
            </a:rPr>
            <a:t>のでご了承ください。</a:t>
          </a:r>
        </a:p>
      </xdr:txBody>
    </xdr:sp>
    <xdr:clientData/>
  </xdr:twoCellAnchor>
  <xdr:twoCellAnchor>
    <xdr:from>
      <xdr:col>0</xdr:col>
      <xdr:colOff>38099</xdr:colOff>
      <xdr:row>30</xdr:row>
      <xdr:rowOff>116416</xdr:rowOff>
    </xdr:from>
    <xdr:to>
      <xdr:col>33</xdr:col>
      <xdr:colOff>254000</xdr:colOff>
      <xdr:row>35</xdr:row>
      <xdr:rowOff>55880</xdr:rowOff>
    </xdr:to>
    <xdr:sp macro="" textlink="">
      <xdr:nvSpPr>
        <xdr:cNvPr id="2" name="AutoShape 2">
          <a:extLst>
            <a:ext uri="{FF2B5EF4-FFF2-40B4-BE49-F238E27FC236}">
              <a16:creationId xmlns:a16="http://schemas.microsoft.com/office/drawing/2014/main" id="{5EF36167-4075-4639-97F8-2BC612F0F18C}"/>
            </a:ext>
          </a:extLst>
        </xdr:cNvPr>
        <xdr:cNvSpPr>
          <a:spLocks noChangeArrowheads="1"/>
        </xdr:cNvSpPr>
      </xdr:nvSpPr>
      <xdr:spPr bwMode="auto">
        <a:xfrm>
          <a:off x="38099" y="10279591"/>
          <a:ext cx="9298941" cy="1372024"/>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0" bIns="72000" anchor="t" upright="1"/>
        <a:lstStyle/>
        <a:p>
          <a:pPr algn="l" rtl="0">
            <a:defRPr sz="1000"/>
          </a:pPr>
          <a:r>
            <a:rPr lang="ja-JP" altLang="en-US" sz="1050" b="0" i="0" u="none" strike="noStrike" baseline="0">
              <a:solidFill>
                <a:srgbClr val="000000"/>
              </a:solidFill>
              <a:latin typeface="+mn-ea"/>
              <a:ea typeface="+mn-ea"/>
            </a:rPr>
            <a:t>ご注意事項</a:t>
          </a:r>
        </a:p>
        <a:p>
          <a:pPr algn="l" rtl="0">
            <a:lnSpc>
              <a:spcPts val="1100"/>
            </a:lnSpc>
            <a:defRPr sz="1000"/>
          </a:pPr>
          <a:r>
            <a:rPr lang="en-US" altLang="ja-JP" sz="1050" b="0" i="0" baseline="0">
              <a:solidFill>
                <a:sysClr val="windowText" lastClr="000000"/>
              </a:solidFill>
              <a:effectLst/>
              <a:latin typeface="+mn-ea"/>
              <a:ea typeface="+mn-ea"/>
              <a:cs typeface="+mn-cs"/>
            </a:rPr>
            <a:t>※</a:t>
          </a:r>
          <a:r>
            <a:rPr lang="ja-JP" altLang="en-US" sz="1050" b="0" i="0" baseline="0">
              <a:solidFill>
                <a:sysClr val="windowText" lastClr="000000"/>
              </a:solidFill>
              <a:effectLst/>
              <a:latin typeface="+mn-ea"/>
              <a:ea typeface="+mn-ea"/>
              <a:cs typeface="+mn-cs"/>
            </a:rPr>
            <a:t>マークは入力必須です</a:t>
          </a:r>
          <a:endParaRPr lang="en-US" altLang="ja-JP" sz="1050" b="0" i="0" baseline="0">
            <a:solidFill>
              <a:sysClr val="windowText" lastClr="000000"/>
            </a:solidFill>
            <a:effectLst/>
            <a:latin typeface="+mn-ea"/>
            <a:ea typeface="+mn-ea"/>
            <a:cs typeface="+mn-cs"/>
          </a:endParaRPr>
        </a:p>
        <a:p>
          <a:pPr algn="l" rtl="0">
            <a:lnSpc>
              <a:spcPts val="1100"/>
            </a:lnSpc>
            <a:defRPr sz="1000"/>
          </a:pPr>
          <a:endParaRPr lang="en-US" altLang="ja-JP" sz="1050" b="0" i="0" u="none" strike="noStrike" baseline="0">
            <a:solidFill>
              <a:sysClr val="windowText" lastClr="000000"/>
            </a:solidFill>
            <a:effectLst/>
            <a:latin typeface="+mn-ea"/>
            <a:ea typeface="+mn-ea"/>
            <a:cs typeface="+mn-cs"/>
          </a:endParaRPr>
        </a:p>
        <a:p>
          <a:pPr algn="l" rtl="0">
            <a:lnSpc>
              <a:spcPts val="1100"/>
            </a:lnSpc>
            <a:defRPr sz="1000"/>
          </a:pPr>
          <a:r>
            <a:rPr lang="ja-JP" altLang="en-US" sz="1050" b="0" i="0" u="none" strike="noStrike" baseline="0">
              <a:solidFill>
                <a:sysClr val="windowText" lastClr="000000"/>
              </a:solidFill>
              <a:effectLst/>
              <a:latin typeface="+mn-ea"/>
              <a:ea typeface="+mn-ea"/>
              <a:cs typeface="+mn-cs"/>
            </a:rPr>
            <a:t>（注１）回線契約名義変更はこの用紙ではできません。</a:t>
          </a:r>
          <a:endParaRPr lang="en-US" altLang="ja-JP" sz="1050" b="0" i="0" u="none" strike="noStrike" baseline="0">
            <a:solidFill>
              <a:sysClr val="windowText" lastClr="000000"/>
            </a:solidFill>
            <a:effectLst/>
            <a:latin typeface="+mn-ea"/>
            <a:ea typeface="+mn-ea"/>
            <a:cs typeface="+mn-cs"/>
          </a:endParaRPr>
        </a:p>
        <a:p>
          <a:pPr algn="l" rtl="0">
            <a:lnSpc>
              <a:spcPts val="1100"/>
            </a:lnSpc>
            <a:defRPr sz="1000"/>
          </a:pPr>
          <a:r>
            <a:rPr lang="ja-JP" altLang="en-US" sz="1050" b="0" i="0" u="none" strike="noStrike" baseline="0">
              <a:solidFill>
                <a:sysClr val="windowText" lastClr="000000"/>
              </a:solidFill>
              <a:effectLst/>
              <a:latin typeface="+mn-ea"/>
              <a:ea typeface="+mn-ea"/>
              <a:cs typeface="+mn-cs"/>
            </a:rPr>
            <a:t>弊社営業担当または</a:t>
          </a:r>
          <a:r>
            <a:rPr lang="en-US" altLang="ja-JP" sz="1050" b="0" i="0" u="none" strike="noStrike" baseline="0">
              <a:solidFill>
                <a:sysClr val="windowText" lastClr="000000"/>
              </a:solidFill>
              <a:effectLst/>
              <a:latin typeface="+mn-ea"/>
              <a:ea typeface="+mn-ea"/>
              <a:cs typeface="+mn-cs"/>
            </a:rPr>
            <a:t>0120-003300</a:t>
          </a:r>
          <a:r>
            <a:rPr lang="ja-JP" altLang="en-US" sz="1050" b="0" i="0" u="none" strike="noStrike" baseline="0">
              <a:solidFill>
                <a:sysClr val="windowText" lastClr="000000"/>
              </a:solidFill>
              <a:effectLst/>
              <a:latin typeface="+mn-ea"/>
              <a:ea typeface="+mn-ea"/>
              <a:cs typeface="+mn-cs"/>
            </a:rPr>
            <a:t>へお知らせください。</a:t>
          </a:r>
          <a:endParaRPr lang="en-US" altLang="ja-JP" sz="1050" b="0" i="0" u="none" strike="noStrike" baseline="0">
            <a:solidFill>
              <a:sysClr val="windowText" lastClr="000000"/>
            </a:solidFill>
            <a:effectLst/>
            <a:latin typeface="+mn-ea"/>
            <a:ea typeface="+mn-ea"/>
            <a:cs typeface="+mn-cs"/>
          </a:endParaRPr>
        </a:p>
        <a:p>
          <a:pPr algn="l" rtl="0">
            <a:lnSpc>
              <a:spcPts val="1100"/>
            </a:lnSpc>
            <a:defRPr sz="1000"/>
          </a:pPr>
          <a:endParaRPr lang="en-US" altLang="ja-JP" sz="1050" b="0" i="0" u="none" strike="noStrike" baseline="0">
            <a:solidFill>
              <a:sysClr val="windowText" lastClr="000000"/>
            </a:solidFill>
            <a:effectLst/>
            <a:latin typeface="+mn-ea"/>
            <a:ea typeface="+mn-ea"/>
            <a:cs typeface="+mn-cs"/>
          </a:endParaRPr>
        </a:p>
        <a:p>
          <a:pPr algn="l" rtl="0">
            <a:lnSpc>
              <a:spcPts val="1100"/>
            </a:lnSpc>
            <a:defRPr sz="1000"/>
          </a:pPr>
          <a:r>
            <a:rPr lang="ja-JP" altLang="en-US" sz="1050" b="0" i="0" u="none" strike="noStrike" baseline="0">
              <a:solidFill>
                <a:sysClr val="windowText" lastClr="000000"/>
              </a:solidFill>
              <a:latin typeface="+mn-ea"/>
              <a:ea typeface="+mn-ea"/>
            </a:rPr>
            <a:t>名義他変更を弊社にて確認後、受付とします。本申込書が到着して３ヶ月を経過しても確認できない場合、返却することがあります。</a:t>
          </a:r>
        </a:p>
      </xdr:txBody>
    </xdr:sp>
    <xdr:clientData/>
  </xdr:twoCellAnchor>
  <xdr:twoCellAnchor editAs="oneCell">
    <xdr:from>
      <xdr:col>39</xdr:col>
      <xdr:colOff>114300</xdr:colOff>
      <xdr:row>0</xdr:row>
      <xdr:rowOff>76200</xdr:rowOff>
    </xdr:from>
    <xdr:to>
      <xdr:col>39</xdr:col>
      <xdr:colOff>225425</xdr:colOff>
      <xdr:row>2</xdr:row>
      <xdr:rowOff>2540</xdr:rowOff>
    </xdr:to>
    <xdr:sp macro="" textlink="">
      <xdr:nvSpPr>
        <xdr:cNvPr id="3" name="Text Box 5">
          <a:extLst>
            <a:ext uri="{FF2B5EF4-FFF2-40B4-BE49-F238E27FC236}">
              <a16:creationId xmlns:a16="http://schemas.microsoft.com/office/drawing/2014/main" id="{DB3ECDA8-383A-4E7D-A643-0D5031F37507}"/>
            </a:ext>
          </a:extLst>
        </xdr:cNvPr>
        <xdr:cNvSpPr txBox="1">
          <a:spLocks noChangeArrowheads="1"/>
        </xdr:cNvSpPr>
      </xdr:nvSpPr>
      <xdr:spPr bwMode="auto">
        <a:xfrm>
          <a:off x="11353800" y="76200"/>
          <a:ext cx="97155" cy="2819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45049</xdr:colOff>
      <xdr:row>0</xdr:row>
      <xdr:rowOff>31711</xdr:rowOff>
    </xdr:from>
    <xdr:to>
      <xdr:col>7</xdr:col>
      <xdr:colOff>148167</xdr:colOff>
      <xdr:row>2</xdr:row>
      <xdr:rowOff>93456</xdr:rowOff>
    </xdr:to>
    <xdr:sp macro="" textlink="">
      <xdr:nvSpPr>
        <xdr:cNvPr id="5" name="テキスト ボックス 4">
          <a:extLst>
            <a:ext uri="{FF2B5EF4-FFF2-40B4-BE49-F238E27FC236}">
              <a16:creationId xmlns:a16="http://schemas.microsoft.com/office/drawing/2014/main" id="{8241AF03-F7C1-4450-A4BC-40C954D03314}"/>
            </a:ext>
          </a:extLst>
        </xdr:cNvPr>
        <xdr:cNvSpPr txBox="1"/>
      </xdr:nvSpPr>
      <xdr:spPr>
        <a:xfrm>
          <a:off x="46954" y="29806"/>
          <a:ext cx="2490083" cy="4103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000" b="1">
              <a:solidFill>
                <a:sysClr val="windowText" lastClr="000000"/>
              </a:solidFill>
            </a:rPr>
            <a:t>ビリングステーション</a:t>
          </a:r>
        </a:p>
      </xdr:txBody>
    </xdr:sp>
    <xdr:clientData/>
  </xdr:twoCellAnchor>
  <xdr:twoCellAnchor>
    <xdr:from>
      <xdr:col>11</xdr:col>
      <xdr:colOff>197168</xdr:colOff>
      <xdr:row>16</xdr:row>
      <xdr:rowOff>143193</xdr:rowOff>
    </xdr:from>
    <xdr:to>
      <xdr:col>21</xdr:col>
      <xdr:colOff>143828</xdr:colOff>
      <xdr:row>17</xdr:row>
      <xdr:rowOff>3493</xdr:rowOff>
    </xdr:to>
    <xdr:sp macro="" textlink="">
      <xdr:nvSpPr>
        <xdr:cNvPr id="8" name="吹き出し: 角を丸めた四角形 7">
          <a:extLst>
            <a:ext uri="{FF2B5EF4-FFF2-40B4-BE49-F238E27FC236}">
              <a16:creationId xmlns:a16="http://schemas.microsoft.com/office/drawing/2014/main" id="{A6527BFF-B407-C902-F221-5FCF982569D0}"/>
            </a:ext>
          </a:extLst>
        </xdr:cNvPr>
        <xdr:cNvSpPr/>
      </xdr:nvSpPr>
      <xdr:spPr>
        <a:xfrm>
          <a:off x="3999231" y="5040631"/>
          <a:ext cx="2185035" cy="590550"/>
        </a:xfrm>
        <a:prstGeom prst="wedgeRoundRectCallout">
          <a:avLst>
            <a:gd name="adj1" fmla="val -50144"/>
            <a:gd name="adj2" fmla="val -81138"/>
            <a:gd name="adj3" fmla="val 16667"/>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ハイフンは不要です</a:t>
          </a:r>
        </a:p>
      </xdr:txBody>
    </xdr:sp>
    <xdr:clientData/>
  </xdr:twoCellAnchor>
  <xdr:twoCellAnchor>
    <xdr:from>
      <xdr:col>25</xdr:col>
      <xdr:colOff>46037</xdr:colOff>
      <xdr:row>14</xdr:row>
      <xdr:rowOff>80960</xdr:rowOff>
    </xdr:from>
    <xdr:to>
      <xdr:col>34</xdr:col>
      <xdr:colOff>564833</xdr:colOff>
      <xdr:row>16</xdr:row>
      <xdr:rowOff>350201</xdr:rowOff>
    </xdr:to>
    <xdr:sp macro="" textlink="">
      <xdr:nvSpPr>
        <xdr:cNvPr id="9" name="吹き出し: 角を丸めた四角形 8">
          <a:extLst>
            <a:ext uri="{FF2B5EF4-FFF2-40B4-BE49-F238E27FC236}">
              <a16:creationId xmlns:a16="http://schemas.microsoft.com/office/drawing/2014/main" id="{D5CECE1F-F4C8-43E4-B422-F0EF0D5A58C8}"/>
            </a:ext>
          </a:extLst>
        </xdr:cNvPr>
        <xdr:cNvSpPr/>
      </xdr:nvSpPr>
      <xdr:spPr>
        <a:xfrm>
          <a:off x="6943725" y="4629148"/>
          <a:ext cx="3685858" cy="618491"/>
        </a:xfrm>
        <a:prstGeom prst="wedgeRoundRectCallout">
          <a:avLst>
            <a:gd name="adj1" fmla="val -88275"/>
            <a:gd name="adj2" fmla="val -91528"/>
            <a:gd name="adj3" fmla="val 16667"/>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「株式会社」含め正確に記載ください</a:t>
          </a:r>
        </a:p>
      </xdr:txBody>
    </xdr:sp>
    <xdr:clientData/>
  </xdr:twoCellAnchor>
  <xdr:twoCellAnchor>
    <xdr:from>
      <xdr:col>0</xdr:col>
      <xdr:colOff>257492</xdr:colOff>
      <xdr:row>7</xdr:row>
      <xdr:rowOff>706437</xdr:rowOff>
    </xdr:from>
    <xdr:to>
      <xdr:col>29</xdr:col>
      <xdr:colOff>31751</xdr:colOff>
      <xdr:row>9</xdr:row>
      <xdr:rowOff>319721</xdr:rowOff>
    </xdr:to>
    <xdr:sp macro="" textlink="">
      <xdr:nvSpPr>
        <xdr:cNvPr id="10" name="吹き出し: 角を丸めた四角形 9">
          <a:hlinkClick xmlns:r="http://schemas.openxmlformats.org/officeDocument/2006/relationships" r:id="rId1"/>
          <a:extLst>
            <a:ext uri="{FF2B5EF4-FFF2-40B4-BE49-F238E27FC236}">
              <a16:creationId xmlns:a16="http://schemas.microsoft.com/office/drawing/2014/main" id="{B83EF810-B0D5-43C5-90FE-4EC21E9F16C3}"/>
            </a:ext>
          </a:extLst>
        </xdr:cNvPr>
        <xdr:cNvSpPr/>
      </xdr:nvSpPr>
      <xdr:spPr>
        <a:xfrm>
          <a:off x="257492" y="4389437"/>
          <a:ext cx="7735572" cy="1359534"/>
        </a:xfrm>
        <a:prstGeom prst="wedgeRoundRectCallout">
          <a:avLst>
            <a:gd name="adj1" fmla="val -28144"/>
            <a:gd name="adj2" fmla="val 73223"/>
            <a:gd name="adj3" fmla="val 16667"/>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ビリングステーションログイン後、画面上部に表示される「</a:t>
          </a:r>
          <a:r>
            <a:rPr kumimoji="1" lang="en-US" altLang="ja-JP" sz="1400">
              <a:solidFill>
                <a:sysClr val="windowText" lastClr="000000"/>
              </a:solidFill>
              <a:latin typeface="メイリオ" panose="020B0604030504040204" pitchFamily="50" charset="-128"/>
              <a:ea typeface="メイリオ" panose="020B0604030504040204" pitchFamily="50" charset="-128"/>
            </a:rPr>
            <a:t>BS</a:t>
          </a:r>
          <a:r>
            <a:rPr kumimoji="1" lang="ja-JP" altLang="en-US" sz="1400">
              <a:solidFill>
                <a:sysClr val="windowText" lastClr="000000"/>
              </a:solidFill>
              <a:latin typeface="メイリオ" panose="020B0604030504040204" pitchFamily="50" charset="-128"/>
              <a:ea typeface="メイリオ" panose="020B0604030504040204" pitchFamily="50" charset="-128"/>
            </a:rPr>
            <a:t>」から始まる番号です。</a:t>
          </a:r>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r>
            <a:rPr kumimoji="1" lang="en-US" altLang="ja-JP" sz="1400">
              <a:solidFill>
                <a:sysClr val="windowText" lastClr="000000"/>
              </a:solidFill>
              <a:latin typeface="メイリオ" panose="020B0604030504040204" pitchFamily="50" charset="-128"/>
              <a:ea typeface="メイリオ" panose="020B0604030504040204" pitchFamily="50" charset="-128"/>
            </a:rPr>
            <a:t>※</a:t>
          </a:r>
          <a:r>
            <a:rPr kumimoji="1" lang="ja-JP" altLang="en-US" sz="1400">
              <a:solidFill>
                <a:sysClr val="windowText" lastClr="000000"/>
              </a:solidFill>
              <a:latin typeface="メイリオ" panose="020B0604030504040204" pitchFamily="50" charset="-128"/>
              <a:ea typeface="メイリオ" panose="020B0604030504040204" pitchFamily="50" charset="-128"/>
            </a:rPr>
            <a:t>ログイン</a:t>
          </a:r>
          <a:r>
            <a:rPr kumimoji="1" lang="en-US" altLang="ja-JP" sz="1400">
              <a:solidFill>
                <a:sysClr val="windowText" lastClr="000000"/>
              </a:solidFill>
              <a:latin typeface="メイリオ" panose="020B0604030504040204" pitchFamily="50" charset="-128"/>
              <a:ea typeface="メイリオ" panose="020B0604030504040204" pitchFamily="50" charset="-128"/>
            </a:rPr>
            <a:t>ID</a:t>
          </a:r>
          <a:r>
            <a:rPr kumimoji="1" lang="ja-JP" altLang="en-US" sz="1400">
              <a:solidFill>
                <a:sysClr val="windowText" lastClr="000000"/>
              </a:solidFill>
              <a:latin typeface="メイリオ" panose="020B0604030504040204" pitchFamily="50" charset="-128"/>
              <a:ea typeface="メイリオ" panose="020B0604030504040204" pitchFamily="50" charset="-128"/>
            </a:rPr>
            <a:t>ではありません</a:t>
          </a:r>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画面上の表示場所ご案内：</a:t>
          </a:r>
          <a:r>
            <a:rPr kumimoji="1" lang="en-US" altLang="ja-JP" sz="900">
              <a:solidFill>
                <a:sysClr val="windowText" lastClr="000000"/>
              </a:solidFill>
              <a:latin typeface="メイリオ" panose="020B0604030504040204" pitchFamily="50" charset="-128"/>
              <a:ea typeface="メイリオ" panose="020B0604030504040204" pitchFamily="50" charset="-128"/>
            </a:rPr>
            <a:t>https://support.ntt.com/business/faq/detail/pid2300001v74</a:t>
          </a:r>
          <a:endParaRPr kumimoji="1" lang="ja-JP" altLang="en-US" sz="1400">
            <a:solidFill>
              <a:sysClr val="windowText" lastClr="000000"/>
            </a:solidFill>
            <a:latin typeface="メイリオ" panose="020B0604030504040204" pitchFamily="50" charset="-128"/>
            <a:ea typeface="メイリオ" panose="020B0604030504040204" pitchFamily="50" charset="-128"/>
          </a:endParaRPr>
        </a:p>
      </xdr:txBody>
    </xdr:sp>
    <xdr:clientData/>
  </xdr:twoCellAnchor>
  <xdr:twoCellAnchor>
    <xdr:from>
      <xdr:col>28</xdr:col>
      <xdr:colOff>0</xdr:colOff>
      <xdr:row>17</xdr:row>
      <xdr:rowOff>685800</xdr:rowOff>
    </xdr:from>
    <xdr:to>
      <xdr:col>33</xdr:col>
      <xdr:colOff>47625</xdr:colOff>
      <xdr:row>19</xdr:row>
      <xdr:rowOff>238125</xdr:rowOff>
    </xdr:to>
    <xdr:sp macro="" textlink="">
      <xdr:nvSpPr>
        <xdr:cNvPr id="11" name="吹き出し: 角を丸めた四角形 10">
          <a:extLst>
            <a:ext uri="{FF2B5EF4-FFF2-40B4-BE49-F238E27FC236}">
              <a16:creationId xmlns:a16="http://schemas.microsoft.com/office/drawing/2014/main" id="{2B0E05C0-E6FD-4441-BC6F-55C57272C553}"/>
            </a:ext>
          </a:extLst>
        </xdr:cNvPr>
        <xdr:cNvSpPr/>
      </xdr:nvSpPr>
      <xdr:spPr>
        <a:xfrm>
          <a:off x="6991350" y="5791200"/>
          <a:ext cx="2143125" cy="600075"/>
        </a:xfrm>
        <a:prstGeom prst="wedgeRoundRectCallout">
          <a:avLst>
            <a:gd name="adj1" fmla="val -67944"/>
            <a:gd name="adj2" fmla="val -15278"/>
            <a:gd name="adj3" fmla="val 16667"/>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ハイフンは不要です</a:t>
          </a:r>
        </a:p>
      </xdr:txBody>
    </xdr:sp>
    <xdr:clientData/>
  </xdr:twoCellAnchor>
  <xdr:twoCellAnchor>
    <xdr:from>
      <xdr:col>21</xdr:col>
      <xdr:colOff>66832</xdr:colOff>
      <xdr:row>8</xdr:row>
      <xdr:rowOff>183512</xdr:rowOff>
    </xdr:from>
    <xdr:to>
      <xdr:col>43</xdr:col>
      <xdr:colOff>55404</xdr:colOff>
      <xdr:row>10</xdr:row>
      <xdr:rowOff>427355</xdr:rowOff>
    </xdr:to>
    <xdr:sp macro="" textlink="">
      <xdr:nvSpPr>
        <xdr:cNvPr id="16" name="吹き出し: 角を丸めた四角形 15">
          <a:extLst>
            <a:ext uri="{FF2B5EF4-FFF2-40B4-BE49-F238E27FC236}">
              <a16:creationId xmlns:a16="http://schemas.microsoft.com/office/drawing/2014/main" id="{A2D826F8-E87D-4341-B7FF-6E4E21A18779}"/>
            </a:ext>
          </a:extLst>
        </xdr:cNvPr>
        <xdr:cNvSpPr/>
      </xdr:nvSpPr>
      <xdr:spPr>
        <a:xfrm>
          <a:off x="6829582" y="5338918"/>
          <a:ext cx="7465697" cy="1065375"/>
        </a:xfrm>
        <a:prstGeom prst="wedgeRoundRectCallout">
          <a:avLst>
            <a:gd name="adj1" fmla="val -68598"/>
            <a:gd name="adj2" fmla="val 38075"/>
            <a:gd name="adj3" fmla="val 16667"/>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移行元の</a:t>
          </a:r>
          <a:r>
            <a:rPr kumimoji="1" lang="en-US" altLang="ja-JP" sz="1400">
              <a:solidFill>
                <a:sysClr val="windowText" lastClr="000000"/>
              </a:solidFill>
              <a:latin typeface="メイリオ" panose="020B0604030504040204" pitchFamily="50" charset="-128"/>
              <a:ea typeface="メイリオ" panose="020B0604030504040204" pitchFamily="50" charset="-128"/>
            </a:rPr>
            <a:t>BS</a:t>
          </a:r>
          <a:r>
            <a:rPr kumimoji="1" lang="ja-JP" altLang="en-US" sz="1400">
              <a:solidFill>
                <a:sysClr val="windowText" lastClr="000000"/>
              </a:solidFill>
              <a:latin typeface="メイリオ" panose="020B0604030504040204" pitchFamily="50" charset="-128"/>
              <a:ea typeface="メイリオ" panose="020B0604030504040204" pitchFamily="50" charset="-128"/>
            </a:rPr>
            <a:t>お客様番号</a:t>
          </a:r>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r>
            <a:rPr kumimoji="1" lang="ja-JP" altLang="en-US" sz="1400" b="1">
              <a:solidFill>
                <a:sysClr val="windowText" lastClr="000000"/>
              </a:solidFill>
              <a:latin typeface="メイリオ" panose="020B0604030504040204" pitchFamily="50" charset="-128"/>
              <a:ea typeface="メイリオ" panose="020B0604030504040204" pitchFamily="50" charset="-128"/>
            </a:rPr>
            <a:t>これまでに発行された適格請求書は移行されませんことをご了承ください</a:t>
          </a:r>
        </a:p>
      </xdr:txBody>
    </xdr:sp>
    <xdr:clientData/>
  </xdr:twoCellAnchor>
  <xdr:twoCellAnchor>
    <xdr:from>
      <xdr:col>20</xdr:col>
      <xdr:colOff>199389</xdr:colOff>
      <xdr:row>10</xdr:row>
      <xdr:rowOff>465452</xdr:rowOff>
    </xdr:from>
    <xdr:to>
      <xdr:col>42</xdr:col>
      <xdr:colOff>232728</xdr:colOff>
      <xdr:row>13</xdr:row>
      <xdr:rowOff>380999</xdr:rowOff>
    </xdr:to>
    <xdr:sp macro="" textlink="">
      <xdr:nvSpPr>
        <xdr:cNvPr id="17" name="吹き出し: 角を丸めた四角形 16">
          <a:extLst>
            <a:ext uri="{FF2B5EF4-FFF2-40B4-BE49-F238E27FC236}">
              <a16:creationId xmlns:a16="http://schemas.microsoft.com/office/drawing/2014/main" id="{250726F0-53EF-4E2B-8B18-D4097704E5D5}"/>
            </a:ext>
          </a:extLst>
        </xdr:cNvPr>
        <xdr:cNvSpPr/>
      </xdr:nvSpPr>
      <xdr:spPr>
        <a:xfrm>
          <a:off x="6025514" y="3100702"/>
          <a:ext cx="6788152" cy="1320485"/>
        </a:xfrm>
        <a:prstGeom prst="wedgeRoundRectCallout">
          <a:avLst>
            <a:gd name="adj1" fmla="val -70235"/>
            <a:gd name="adj2" fmla="val -12765"/>
            <a:gd name="adj3" fmla="val 16667"/>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移行先の</a:t>
          </a:r>
          <a:r>
            <a:rPr kumimoji="1" lang="en-US" altLang="ja-JP" sz="1400">
              <a:solidFill>
                <a:sysClr val="windowText" lastClr="000000"/>
              </a:solidFill>
              <a:latin typeface="メイリオ" panose="020B0604030504040204" pitchFamily="50" charset="-128"/>
              <a:ea typeface="メイリオ" panose="020B0604030504040204" pitchFamily="50" charset="-128"/>
            </a:rPr>
            <a:t>BS</a:t>
          </a:r>
          <a:r>
            <a:rPr kumimoji="1" lang="ja-JP" altLang="en-US" sz="1400">
              <a:solidFill>
                <a:sysClr val="windowText" lastClr="000000"/>
              </a:solidFill>
              <a:latin typeface="メイリオ" panose="020B0604030504040204" pitchFamily="50" charset="-128"/>
              <a:ea typeface="メイリオ" panose="020B0604030504040204" pitchFamily="50" charset="-128"/>
            </a:rPr>
            <a:t>お客様番号</a:t>
          </a:r>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r>
            <a:rPr kumimoji="1" lang="ja-JP" altLang="en-US" sz="1400" b="1">
              <a:solidFill>
                <a:sysClr val="windowText" lastClr="000000"/>
              </a:solidFill>
              <a:latin typeface="メイリオ" panose="020B0604030504040204" pitchFamily="50" charset="-128"/>
              <a:ea typeface="メイリオ" panose="020B0604030504040204" pitchFamily="50" charset="-128"/>
            </a:rPr>
            <a:t>移行設定完了するとこちらでダウンロードできるようになります。完了時のご連絡はいきませんがご了承ください</a:t>
          </a:r>
        </a:p>
      </xdr:txBody>
    </xdr:sp>
    <xdr:clientData/>
  </xdr:twoCellAnchor>
  <xdr:twoCellAnchor>
    <xdr:from>
      <xdr:col>0</xdr:col>
      <xdr:colOff>0</xdr:colOff>
      <xdr:row>24</xdr:row>
      <xdr:rowOff>0</xdr:rowOff>
    </xdr:from>
    <xdr:to>
      <xdr:col>36</xdr:col>
      <xdr:colOff>3280</xdr:colOff>
      <xdr:row>30</xdr:row>
      <xdr:rowOff>15161</xdr:rowOff>
    </xdr:to>
    <xdr:sp macro="" textlink="">
      <xdr:nvSpPr>
        <xdr:cNvPr id="18" name="AutoShape 2">
          <a:extLst>
            <a:ext uri="{FF2B5EF4-FFF2-40B4-BE49-F238E27FC236}">
              <a16:creationId xmlns:a16="http://schemas.microsoft.com/office/drawing/2014/main" id="{CB43BD20-9D72-4DF2-AEB2-ED0ACB74F218}"/>
            </a:ext>
          </a:extLst>
        </xdr:cNvPr>
        <xdr:cNvSpPr>
          <a:spLocks noChangeArrowheads="1"/>
        </xdr:cNvSpPr>
      </xdr:nvSpPr>
      <xdr:spPr bwMode="auto">
        <a:xfrm>
          <a:off x="0" y="8310563"/>
          <a:ext cx="11060218" cy="1428036"/>
        </a:xfrm>
        <a:prstGeom prst="roundRect">
          <a:avLst>
            <a:gd name="adj" fmla="val 5983"/>
          </a:avLst>
        </a:prstGeom>
        <a:solidFill>
          <a:srgbClr val="FFFF00"/>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08000" rIns="0" bIns="72000" anchor="ctr" anchorCtr="0" upright="1"/>
        <a:lstStyle/>
        <a:p>
          <a:pPr algn="l" rtl="0">
            <a:lnSpc>
              <a:spcPts val="1100"/>
            </a:lnSpc>
            <a:defRPr sz="1000"/>
          </a:pPr>
          <a:r>
            <a:rPr lang="ja-JP" altLang="en-US" sz="2000" b="0" i="0" u="none" strike="noStrike" kern="0" baseline="0">
              <a:solidFill>
                <a:sysClr val="windowText" lastClr="000000"/>
              </a:solidFill>
              <a:effectLst/>
              <a:latin typeface="+mn-ea"/>
              <a:ea typeface="+mn-ea"/>
              <a:cs typeface="+mn-cs"/>
            </a:rPr>
            <a:t>次に「変更別紙」シートの「対象ご請求番号」に変更するご請求番号を記入ください。</a:t>
          </a:r>
          <a:endParaRPr lang="en-US" altLang="ja-JP" sz="2000" b="0" i="0" u="none" strike="noStrike" kern="0" baseline="0">
            <a:solidFill>
              <a:sysClr val="windowText" lastClr="000000"/>
            </a:solidFill>
            <a:effectLst/>
            <a:latin typeface="+mn-ea"/>
            <a:ea typeface="+mn-ea"/>
            <a:cs typeface="+mn-cs"/>
          </a:endParaRPr>
        </a:p>
        <a:p>
          <a:pPr algn="l" rtl="0">
            <a:lnSpc>
              <a:spcPts val="1100"/>
            </a:lnSpc>
            <a:defRPr sz="1000"/>
          </a:pPr>
          <a:endParaRPr lang="en-US" altLang="ja-JP" sz="2000" b="0" i="0" u="none" strike="noStrike" kern="0" baseline="0">
            <a:solidFill>
              <a:sysClr val="windowText" lastClr="000000"/>
            </a:solidFill>
            <a:effectLst/>
            <a:latin typeface="+mn-ea"/>
            <a:ea typeface="+mn-ea"/>
            <a:cs typeface="+mn-cs"/>
          </a:endParaRPr>
        </a:p>
        <a:p>
          <a:pPr algn="l" rtl="0">
            <a:lnSpc>
              <a:spcPts val="1100"/>
            </a:lnSpc>
            <a:defRPr sz="1000"/>
          </a:pPr>
          <a:endParaRPr lang="en-US" altLang="ja-JP" sz="2000" b="0" i="0" u="none" strike="noStrike" kern="0" baseline="0">
            <a:solidFill>
              <a:sysClr val="windowText" lastClr="000000"/>
            </a:solidFill>
            <a:effectLst/>
            <a:latin typeface="+mn-ea"/>
            <a:ea typeface="+mn-ea"/>
            <a:cs typeface="+mn-cs"/>
          </a:endParaRPr>
        </a:p>
        <a:p>
          <a:pPr marL="0" marR="0" lvl="0" indent="0" algn="l" defTabSz="914400" rtl="0" eaLnBrk="1" fontAlgn="auto" latinLnBrk="0" hangingPunct="1">
            <a:lnSpc>
              <a:spcPts val="1100"/>
            </a:lnSpc>
            <a:spcBef>
              <a:spcPts val="0"/>
            </a:spcBef>
            <a:spcAft>
              <a:spcPts val="0"/>
            </a:spcAft>
            <a:buClrTx/>
            <a:buSzTx/>
            <a:buFontTx/>
            <a:buNone/>
            <a:tabLst/>
            <a:defRPr sz="1000"/>
          </a:pPr>
          <a:r>
            <a:rPr kumimoji="0" lang="en-US" altLang="ja-JP" sz="20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mn-ea"/>
              <a:cs typeface="+mn-cs"/>
            </a:rPr>
            <a:t>※</a:t>
          </a:r>
          <a:r>
            <a:rPr kumimoji="0" lang="ja-JP" altLang="en-US" sz="20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mn-ea"/>
              <a:cs typeface="+mn-cs"/>
            </a:rPr>
            <a:t>ファイル形式はエクセルから</a:t>
          </a:r>
          <a:r>
            <a:rPr kumimoji="0" lang="ja-JP" altLang="en-US" sz="2000" b="1" i="0" u="none" strike="noStrike" kern="0" cap="none" spc="0" normalizeH="0" baseline="0" noProof="0">
              <a:ln>
                <a:noFill/>
              </a:ln>
              <a:solidFill>
                <a:srgbClr val="FF0000"/>
              </a:solidFill>
              <a:effectLst/>
              <a:uLnTx/>
              <a:uFillTx/>
              <a:latin typeface="ＭＳ Ｐゴシック" panose="020B0600070205080204" pitchFamily="50" charset="-128"/>
              <a:ea typeface="+mn-ea"/>
              <a:cs typeface="+mn-cs"/>
            </a:rPr>
            <a:t>変えないで</a:t>
          </a:r>
          <a:r>
            <a:rPr kumimoji="0" lang="ja-JP" altLang="en-US" sz="20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mn-ea"/>
              <a:cs typeface="+mn-cs"/>
            </a:rPr>
            <a:t>アップロードしてください。</a:t>
          </a:r>
          <a:endParaRPr kumimoji="0" lang="en-US" altLang="ja-JP" sz="20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mn-ea"/>
            <a:cs typeface="+mn-cs"/>
          </a:endParaRPr>
        </a:p>
        <a:p>
          <a:pPr marL="0" marR="0" lvl="0" indent="0" algn="l" defTabSz="914400" rtl="0" eaLnBrk="1" fontAlgn="auto" latinLnBrk="0" hangingPunct="1">
            <a:lnSpc>
              <a:spcPts val="1100"/>
            </a:lnSpc>
            <a:spcBef>
              <a:spcPts val="0"/>
            </a:spcBef>
            <a:spcAft>
              <a:spcPts val="0"/>
            </a:spcAft>
            <a:buClrTx/>
            <a:buSzTx/>
            <a:buFontTx/>
            <a:buNone/>
            <a:tabLst/>
            <a:defRPr sz="1000"/>
          </a:pPr>
          <a:endParaRPr kumimoji="0" lang="en-US" altLang="ja-JP" sz="20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mn-ea"/>
            <a:cs typeface="+mn-cs"/>
          </a:endParaRPr>
        </a:p>
        <a:p>
          <a:pPr marL="0" marR="0" lvl="0" indent="0" algn="l" defTabSz="914400" rtl="0" eaLnBrk="1" fontAlgn="auto" latinLnBrk="0" hangingPunct="1">
            <a:lnSpc>
              <a:spcPts val="1100"/>
            </a:lnSpc>
            <a:spcBef>
              <a:spcPts val="0"/>
            </a:spcBef>
            <a:spcAft>
              <a:spcPts val="0"/>
            </a:spcAft>
            <a:buClrTx/>
            <a:buSzTx/>
            <a:buFontTx/>
            <a:buNone/>
            <a:tabLst/>
            <a:defRPr sz="1000"/>
          </a:pPr>
          <a:r>
            <a:rPr kumimoji="0" lang="ja-JP" altLang="en-US" sz="18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mn-ea"/>
              <a:cs typeface="+mn-cs"/>
            </a:rPr>
            <a:t>　　（拡張子を</a:t>
          </a:r>
          <a:r>
            <a:rPr kumimoji="0" lang="en-US" altLang="ja-JP" sz="18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mn-ea"/>
              <a:cs typeface="+mn-cs"/>
            </a:rPr>
            <a:t>.xls</a:t>
          </a:r>
          <a:r>
            <a:rPr kumimoji="0" lang="ja-JP" altLang="en-US" sz="18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mn-ea"/>
              <a:cs typeface="+mn-cs"/>
            </a:rPr>
            <a:t>等に変更しないでください。また</a:t>
          </a:r>
          <a:r>
            <a:rPr kumimoji="0" lang="en-US" altLang="ja-JP" sz="18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mn-ea"/>
              <a:cs typeface="+mn-cs"/>
            </a:rPr>
            <a:t>PDF</a:t>
          </a:r>
          <a:r>
            <a:rPr kumimoji="0" lang="ja-JP" altLang="en-US" sz="18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mn-ea"/>
              <a:cs typeface="+mn-cs"/>
            </a:rPr>
            <a:t>形式等に変えないでください。）</a:t>
          </a:r>
          <a:endParaRPr lang="ja-JP" altLang="en-US" sz="1800" b="0" i="0" u="none" strike="noStrike" kern="0" baseline="0">
            <a:solidFill>
              <a:sysClr val="windowText" lastClr="000000"/>
            </a:solidFill>
            <a:latin typeface="+mn-ea"/>
            <a:ea typeface="+mn-ea"/>
          </a:endParaRPr>
        </a:p>
      </xdr:txBody>
    </xdr:sp>
    <xdr:clientData/>
  </xdr:twoCellAnchor>
  <xdr:twoCellAnchor>
    <xdr:from>
      <xdr:col>8</xdr:col>
      <xdr:colOff>66675</xdr:colOff>
      <xdr:row>30</xdr:row>
      <xdr:rowOff>180975</xdr:rowOff>
    </xdr:from>
    <xdr:to>
      <xdr:col>29</xdr:col>
      <xdr:colOff>40005</xdr:colOff>
      <xdr:row>35</xdr:row>
      <xdr:rowOff>78106</xdr:rowOff>
    </xdr:to>
    <xdr:sp macro="" textlink="">
      <xdr:nvSpPr>
        <xdr:cNvPr id="14" name="吹き出し: 角を丸めた四角形 13">
          <a:extLst>
            <a:ext uri="{FF2B5EF4-FFF2-40B4-BE49-F238E27FC236}">
              <a16:creationId xmlns:a16="http://schemas.microsoft.com/office/drawing/2014/main" id="{7B2B1F45-DB8D-40D4-8262-7648D280A064}"/>
            </a:ext>
          </a:extLst>
        </xdr:cNvPr>
        <xdr:cNvSpPr/>
      </xdr:nvSpPr>
      <xdr:spPr>
        <a:xfrm>
          <a:off x="3038475" y="11039475"/>
          <a:ext cx="4926330" cy="1325881"/>
        </a:xfrm>
        <a:prstGeom prst="wedgeRoundRectCallout">
          <a:avLst>
            <a:gd name="adj1" fmla="val -31812"/>
            <a:gd name="adj2" fmla="val -77149"/>
            <a:gd name="adj3" fmla="val 16667"/>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登録データとして用いるため、</a:t>
          </a:r>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r>
            <a:rPr kumimoji="1" lang="en-US" altLang="ja-JP" sz="1400">
              <a:solidFill>
                <a:sysClr val="windowText" lastClr="000000"/>
              </a:solidFill>
              <a:latin typeface="メイリオ" panose="020B0604030504040204" pitchFamily="50" charset="-128"/>
              <a:ea typeface="メイリオ" panose="020B0604030504040204" pitchFamily="50" charset="-128"/>
            </a:rPr>
            <a:t>PDF</a:t>
          </a:r>
          <a:r>
            <a:rPr kumimoji="1" lang="ja-JP" altLang="en-US" sz="1400">
              <a:solidFill>
                <a:sysClr val="windowText" lastClr="000000"/>
              </a:solidFill>
              <a:latin typeface="メイリオ" panose="020B0604030504040204" pitchFamily="50" charset="-128"/>
              <a:ea typeface="メイリオ" panose="020B0604030504040204" pitchFamily="50" charset="-128"/>
            </a:rPr>
            <a:t>形式で保存したり拡張子を変更したりせず、</a:t>
          </a:r>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拡張子が</a:t>
          </a:r>
          <a:r>
            <a:rPr kumimoji="1" lang="en-US" altLang="ja-JP" sz="1400">
              <a:solidFill>
                <a:sysClr val="windowText" lastClr="000000"/>
              </a:solidFill>
              <a:latin typeface="メイリオ" panose="020B0604030504040204" pitchFamily="50" charset="-128"/>
              <a:ea typeface="メイリオ" panose="020B0604030504040204" pitchFamily="50" charset="-128"/>
            </a:rPr>
            <a:t>.xlsx</a:t>
          </a:r>
          <a:r>
            <a:rPr kumimoji="1" lang="ja-JP" altLang="en-US" sz="1400">
              <a:solidFill>
                <a:sysClr val="windowText" lastClr="000000"/>
              </a:solidFill>
              <a:latin typeface="メイリオ" panose="020B0604030504040204" pitchFamily="50" charset="-128"/>
              <a:ea typeface="メイリオ" panose="020B0604030504040204" pitchFamily="50" charset="-128"/>
            </a:rPr>
            <a:t>のエクセルファイルのまま送付ください</a:t>
          </a:r>
        </a:p>
      </xdr:txBody>
    </xdr:sp>
    <xdr:clientData/>
  </xdr:twoCellAnchor>
  <xdr:twoCellAnchor>
    <xdr:from>
      <xdr:col>0</xdr:col>
      <xdr:colOff>127317</xdr:colOff>
      <xdr:row>11</xdr:row>
      <xdr:rowOff>543560</xdr:rowOff>
    </xdr:from>
    <xdr:to>
      <xdr:col>7</xdr:col>
      <xdr:colOff>185102</xdr:colOff>
      <xdr:row>17</xdr:row>
      <xdr:rowOff>10795</xdr:rowOff>
    </xdr:to>
    <xdr:sp macro="" textlink="">
      <xdr:nvSpPr>
        <xdr:cNvPr id="20" name="吹き出し: 角を丸めた四角形 19">
          <a:extLst>
            <a:ext uri="{FF2B5EF4-FFF2-40B4-BE49-F238E27FC236}">
              <a16:creationId xmlns:a16="http://schemas.microsoft.com/office/drawing/2014/main" id="{8B8EDBD9-DA28-40F4-8745-F2174194EFA8}"/>
            </a:ext>
          </a:extLst>
        </xdr:cNvPr>
        <xdr:cNvSpPr/>
      </xdr:nvSpPr>
      <xdr:spPr>
        <a:xfrm>
          <a:off x="127317" y="3742373"/>
          <a:ext cx="2693035" cy="1896110"/>
        </a:xfrm>
        <a:prstGeom prst="wedgeRoundRectCallout">
          <a:avLst>
            <a:gd name="adj1" fmla="val 68772"/>
            <a:gd name="adj2" fmla="val -79497"/>
            <a:gd name="adj3" fmla="val 16667"/>
          </a:avLst>
        </a:prstGeom>
        <a:solidFill>
          <a:srgbClr val="FFCC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b="1">
              <a:solidFill>
                <a:sysClr val="windowText" lastClr="000000"/>
              </a:solidFill>
              <a:latin typeface="メイリオ" panose="020B0604030504040204" pitchFamily="50" charset="-128"/>
              <a:ea typeface="メイリオ" panose="020B0604030504040204" pitchFamily="50" charset="-128"/>
            </a:rPr>
            <a:t>複数の</a:t>
          </a:r>
          <a:r>
            <a:rPr kumimoji="1" lang="en-US" altLang="ja-JP" sz="1400" b="1">
              <a:solidFill>
                <a:sysClr val="windowText" lastClr="000000"/>
              </a:solidFill>
              <a:latin typeface="メイリオ" panose="020B0604030504040204" pitchFamily="50" charset="-128"/>
              <a:ea typeface="メイリオ" panose="020B0604030504040204" pitchFamily="50" charset="-128"/>
            </a:rPr>
            <a:t>BS</a:t>
          </a:r>
          <a:r>
            <a:rPr kumimoji="1" lang="ja-JP" altLang="en-US" sz="1400" b="1">
              <a:solidFill>
                <a:sysClr val="windowText" lastClr="000000"/>
              </a:solidFill>
              <a:latin typeface="メイリオ" panose="020B0604030504040204" pitchFamily="50" charset="-128"/>
              <a:ea typeface="メイリオ" panose="020B0604030504040204" pitchFamily="50" charset="-128"/>
            </a:rPr>
            <a:t>お客様番号を</a:t>
          </a:r>
          <a:r>
            <a:rPr kumimoji="1" lang="en-US" altLang="ja-JP" sz="1400" b="1">
              <a:solidFill>
                <a:sysClr val="windowText" lastClr="000000"/>
              </a:solidFill>
              <a:latin typeface="メイリオ" panose="020B0604030504040204" pitchFamily="50" charset="-128"/>
              <a:ea typeface="メイリオ" panose="020B0604030504040204" pitchFamily="50" charset="-128"/>
            </a:rPr>
            <a:t>1</a:t>
          </a:r>
          <a:r>
            <a:rPr kumimoji="1" lang="ja-JP" altLang="en-US" sz="1400" b="1">
              <a:solidFill>
                <a:sysClr val="windowText" lastClr="000000"/>
              </a:solidFill>
              <a:latin typeface="メイリオ" panose="020B0604030504040204" pitchFamily="50" charset="-128"/>
              <a:ea typeface="メイリオ" panose="020B0604030504040204" pitchFamily="50" charset="-128"/>
            </a:rPr>
            <a:t>つにしたい場合は、「現在の</a:t>
          </a:r>
          <a:r>
            <a:rPr kumimoji="1" lang="en-US" altLang="ja-JP" sz="1400" b="1">
              <a:solidFill>
                <a:sysClr val="windowText" lastClr="000000"/>
              </a:solidFill>
              <a:latin typeface="メイリオ" panose="020B0604030504040204" pitchFamily="50" charset="-128"/>
              <a:ea typeface="メイリオ" panose="020B0604030504040204" pitchFamily="50" charset="-128"/>
            </a:rPr>
            <a:t>BS</a:t>
          </a:r>
          <a:r>
            <a:rPr kumimoji="1" lang="ja-JP" altLang="en-US" sz="1400" b="1">
              <a:solidFill>
                <a:sysClr val="windowText" lastClr="000000"/>
              </a:solidFill>
              <a:latin typeface="メイリオ" panose="020B0604030504040204" pitchFamily="50" charset="-128"/>
              <a:ea typeface="メイリオ" panose="020B0604030504040204" pitchFamily="50" charset="-128"/>
            </a:rPr>
            <a:t>お客様番号」の数だけ申込書を作成ください。</a:t>
          </a:r>
        </a:p>
      </xdr:txBody>
    </xdr:sp>
    <xdr:clientData/>
  </xdr:twoCellAnchor>
  <xdr:twoCellAnchor editAs="oneCell">
    <xdr:from>
      <xdr:col>6</xdr:col>
      <xdr:colOff>230187</xdr:colOff>
      <xdr:row>0</xdr:row>
      <xdr:rowOff>67310</xdr:rowOff>
    </xdr:from>
    <xdr:to>
      <xdr:col>29</xdr:col>
      <xdr:colOff>226059</xdr:colOff>
      <xdr:row>3</xdr:row>
      <xdr:rowOff>3175</xdr:rowOff>
    </xdr:to>
    <xdr:sp macro="" textlink="">
      <xdr:nvSpPr>
        <xdr:cNvPr id="4" name="Text Box 10">
          <a:extLst>
            <a:ext uri="{FF2B5EF4-FFF2-40B4-BE49-F238E27FC236}">
              <a16:creationId xmlns:a16="http://schemas.microsoft.com/office/drawing/2014/main" id="{6120BEF2-894D-4429-AC35-70FEF03174B2}"/>
            </a:ext>
          </a:extLst>
        </xdr:cNvPr>
        <xdr:cNvSpPr txBox="1">
          <a:spLocks noChangeArrowheads="1"/>
        </xdr:cNvSpPr>
      </xdr:nvSpPr>
      <xdr:spPr bwMode="auto">
        <a:xfrm>
          <a:off x="2547937" y="67310"/>
          <a:ext cx="5635625" cy="4359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2500"/>
            </a:lnSpc>
            <a:defRPr sz="1000"/>
          </a:pPr>
          <a:r>
            <a:rPr lang="en-US" altLang="ja-JP" sz="2400" b="1" i="0" u="none" strike="noStrike" baseline="0">
              <a:solidFill>
                <a:srgbClr val="000000"/>
              </a:solidFill>
              <a:latin typeface="ＭＳ Ｐゴシック"/>
              <a:ea typeface="ＭＳ Ｐゴシック"/>
            </a:rPr>
            <a:t>BS</a:t>
          </a:r>
          <a:r>
            <a:rPr lang="ja-JP" altLang="en-US" sz="2400" b="1" i="0" u="none" strike="noStrike" baseline="0">
              <a:solidFill>
                <a:srgbClr val="000000"/>
              </a:solidFill>
              <a:latin typeface="ＭＳ Ｐゴシック"/>
              <a:ea typeface="ＭＳ Ｐゴシック"/>
            </a:rPr>
            <a:t>お客様番号変更（付替）お申込書</a:t>
          </a:r>
        </a:p>
        <a:p>
          <a:pPr algn="l" rtl="0">
            <a:lnSpc>
              <a:spcPts val="2400"/>
            </a:lnSpc>
            <a:defRPr sz="1000"/>
          </a:pPr>
          <a:endParaRPr lang="ja-JP" altLang="en-US" sz="2400" b="1" i="0" u="none" strike="noStrike" baseline="0">
            <a:solidFill>
              <a:srgbClr val="000000"/>
            </a:solidFill>
            <a:latin typeface="ＭＳ Ｐゴシック"/>
            <a:ea typeface="ＭＳ Ｐゴシック"/>
          </a:endParaRPr>
        </a:p>
      </xdr:txBody>
    </xdr:sp>
    <xdr:clientData/>
  </xdr:twoCellAnchor>
  <xdr:twoCellAnchor editAs="oneCell">
    <xdr:from>
      <xdr:col>28</xdr:col>
      <xdr:colOff>345283</xdr:colOff>
      <xdr:row>0</xdr:row>
      <xdr:rowOff>107155</xdr:rowOff>
    </xdr:from>
    <xdr:to>
      <xdr:col>35</xdr:col>
      <xdr:colOff>464047</xdr:colOff>
      <xdr:row>3</xdr:row>
      <xdr:rowOff>166685</xdr:rowOff>
    </xdr:to>
    <xdr:pic>
      <xdr:nvPicPr>
        <xdr:cNvPr id="7" name="図 6">
          <a:extLst>
            <a:ext uri="{FF2B5EF4-FFF2-40B4-BE49-F238E27FC236}">
              <a16:creationId xmlns:a16="http://schemas.microsoft.com/office/drawing/2014/main" id="{41E8487E-67D8-4980-9312-B27D8D9CDFE3}"/>
            </a:ext>
          </a:extLst>
        </xdr:cNvPr>
        <xdr:cNvPicPr>
          <a:picLocks noChangeAspect="1"/>
        </xdr:cNvPicPr>
      </xdr:nvPicPr>
      <xdr:blipFill>
        <a:blip xmlns:r="http://schemas.openxmlformats.org/officeDocument/2006/relationships" r:embed="rId2"/>
        <a:stretch>
          <a:fillRect/>
        </a:stretch>
      </xdr:blipFill>
      <xdr:spPr>
        <a:xfrm>
          <a:off x="8774908" y="107155"/>
          <a:ext cx="3547764" cy="55959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597534</xdr:colOff>
      <xdr:row>19</xdr:row>
      <xdr:rowOff>254635</xdr:rowOff>
    </xdr:from>
    <xdr:to>
      <xdr:col>14</xdr:col>
      <xdr:colOff>434022</xdr:colOff>
      <xdr:row>32</xdr:row>
      <xdr:rowOff>226219</xdr:rowOff>
    </xdr:to>
    <xdr:sp macro="" textlink="">
      <xdr:nvSpPr>
        <xdr:cNvPr id="4" name="吹き出し: 角を丸めた四角形 3">
          <a:extLst>
            <a:ext uri="{FF2B5EF4-FFF2-40B4-BE49-F238E27FC236}">
              <a16:creationId xmlns:a16="http://schemas.microsoft.com/office/drawing/2014/main" id="{9617AACE-DD7D-4FE6-AF63-9EAF6B7B928A}"/>
            </a:ext>
          </a:extLst>
        </xdr:cNvPr>
        <xdr:cNvSpPr/>
      </xdr:nvSpPr>
      <xdr:spPr>
        <a:xfrm>
          <a:off x="1026159" y="7961948"/>
          <a:ext cx="5122863" cy="3479959"/>
        </a:xfrm>
        <a:prstGeom prst="wedgeRoundRectCallout">
          <a:avLst>
            <a:gd name="adj1" fmla="val 10400"/>
            <a:gd name="adj2" fmla="val -65130"/>
            <a:gd name="adj3" fmla="val 16667"/>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オレンジ網掛けで注意が出る場合は、ご請求番号の形式が異なります。</a:t>
          </a:r>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ハイフンは不要です。</a:t>
          </a:r>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桁数、ご請求番号ではない番号を書いていないか　などご確認ください。</a:t>
          </a:r>
        </a:p>
      </xdr:txBody>
    </xdr:sp>
    <xdr:clientData/>
  </xdr:twoCellAnchor>
  <xdr:twoCellAnchor editAs="oneCell">
    <xdr:from>
      <xdr:col>4</xdr:col>
      <xdr:colOff>1569720</xdr:colOff>
      <xdr:row>21</xdr:row>
      <xdr:rowOff>150495</xdr:rowOff>
    </xdr:from>
    <xdr:to>
      <xdr:col>5</xdr:col>
      <xdr:colOff>1565705</xdr:colOff>
      <xdr:row>22</xdr:row>
      <xdr:rowOff>118077</xdr:rowOff>
    </xdr:to>
    <xdr:pic>
      <xdr:nvPicPr>
        <xdr:cNvPr id="9" name="図 8">
          <a:extLst>
            <a:ext uri="{FF2B5EF4-FFF2-40B4-BE49-F238E27FC236}">
              <a16:creationId xmlns:a16="http://schemas.microsoft.com/office/drawing/2014/main" id="{9827C9B1-CD3A-0D63-9CC1-5464C80C36AF}"/>
            </a:ext>
          </a:extLst>
        </xdr:cNvPr>
        <xdr:cNvPicPr>
          <a:picLocks noChangeAspect="1"/>
        </xdr:cNvPicPr>
      </xdr:nvPicPr>
      <xdr:blipFill>
        <a:blip xmlns:r="http://schemas.openxmlformats.org/officeDocument/2006/relationships" r:embed="rId1"/>
        <a:stretch>
          <a:fillRect/>
        </a:stretch>
      </xdr:blipFill>
      <xdr:spPr>
        <a:xfrm>
          <a:off x="3912870" y="8322945"/>
          <a:ext cx="1638095" cy="266667"/>
        </a:xfrm>
        <a:prstGeom prst="rect">
          <a:avLst/>
        </a:prstGeom>
      </xdr:spPr>
    </xdr:pic>
    <xdr:clientData/>
  </xdr:twoCellAnchor>
  <xdr:twoCellAnchor>
    <xdr:from>
      <xdr:col>4</xdr:col>
      <xdr:colOff>468630</xdr:colOff>
      <xdr:row>1</xdr:row>
      <xdr:rowOff>0</xdr:rowOff>
    </xdr:from>
    <xdr:to>
      <xdr:col>15</xdr:col>
      <xdr:colOff>178593</xdr:colOff>
      <xdr:row>6</xdr:row>
      <xdr:rowOff>94837</xdr:rowOff>
    </xdr:to>
    <xdr:sp macro="" textlink="">
      <xdr:nvSpPr>
        <xdr:cNvPr id="10" name="吹き出し: 角を丸めた四角形 9">
          <a:hlinkClick xmlns:r="http://schemas.openxmlformats.org/officeDocument/2006/relationships" r:id="rId2"/>
          <a:extLst>
            <a:ext uri="{FF2B5EF4-FFF2-40B4-BE49-F238E27FC236}">
              <a16:creationId xmlns:a16="http://schemas.microsoft.com/office/drawing/2014/main" id="{51DC0D8D-8ED5-40EF-BED0-CEA15663A7E6}"/>
            </a:ext>
          </a:extLst>
        </xdr:cNvPr>
        <xdr:cNvSpPr/>
      </xdr:nvSpPr>
      <xdr:spPr>
        <a:xfrm>
          <a:off x="2159318" y="333375"/>
          <a:ext cx="4520088" cy="2106993"/>
        </a:xfrm>
        <a:prstGeom prst="wedgeRoundRectCallout">
          <a:avLst>
            <a:gd name="adj1" fmla="val -38672"/>
            <a:gd name="adj2" fmla="val 81898"/>
            <a:gd name="adj3" fmla="val 16667"/>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latin typeface="メイリオ" panose="020B0604030504040204" pitchFamily="50" charset="-128"/>
              <a:ea typeface="メイリオ" panose="020B0604030504040204" pitchFamily="50" charset="-128"/>
            </a:rPr>
            <a:t>ご請求番号の確認方法ご案内：</a:t>
          </a:r>
          <a:endParaRPr kumimoji="1" lang="en-US" altLang="ja-JP" sz="1400">
            <a:solidFill>
              <a:sysClr val="windowText" lastClr="000000"/>
            </a:solidFill>
            <a:latin typeface="メイリオ" panose="020B0604030504040204" pitchFamily="50" charset="-128"/>
            <a:ea typeface="メイリオ" panose="020B0604030504040204" pitchFamily="50" charset="-128"/>
          </a:endParaRPr>
        </a:p>
        <a:p>
          <a:pPr algn="l"/>
          <a:r>
            <a:rPr kumimoji="1" lang="en-US" altLang="ja-JP" sz="1400">
              <a:solidFill>
                <a:sysClr val="windowText" lastClr="000000"/>
              </a:solidFill>
              <a:latin typeface="メイリオ" panose="020B0604030504040204" pitchFamily="50" charset="-128"/>
              <a:ea typeface="メイリオ" panose="020B0604030504040204" pitchFamily="50" charset="-128"/>
            </a:rPr>
            <a:t>https://support.ntt.com/business/faq/detail/pid2300001ugl</a:t>
          </a:r>
          <a:endParaRPr kumimoji="1" lang="ja-JP" altLang="en-US" sz="1400">
            <a:solidFill>
              <a:sysClr val="windowText" lastClr="000000"/>
            </a:solidFill>
            <a:latin typeface="メイリオ" panose="020B0604030504040204" pitchFamily="50" charset="-128"/>
            <a:ea typeface="メイリオ" panose="020B0604030504040204" pitchFamily="50" charset="-128"/>
          </a:endParaRPr>
        </a:p>
      </xdr:txBody>
    </xdr:sp>
    <xdr:clientData/>
  </xdr:twoCellAnchor>
  <xdr:twoCellAnchor>
    <xdr:from>
      <xdr:col>5</xdr:col>
      <xdr:colOff>535939</xdr:colOff>
      <xdr:row>7</xdr:row>
      <xdr:rowOff>834707</xdr:rowOff>
    </xdr:from>
    <xdr:to>
      <xdr:col>20</xdr:col>
      <xdr:colOff>222249</xdr:colOff>
      <xdr:row>15</xdr:row>
      <xdr:rowOff>263207</xdr:rowOff>
    </xdr:to>
    <xdr:sp macro="" textlink="">
      <xdr:nvSpPr>
        <xdr:cNvPr id="5" name="吹き出し: 角を丸めた四角形 4">
          <a:extLst>
            <a:ext uri="{FF2B5EF4-FFF2-40B4-BE49-F238E27FC236}">
              <a16:creationId xmlns:a16="http://schemas.microsoft.com/office/drawing/2014/main" id="{28D7E12E-1780-4EB6-8B8C-2E6E5CACD129}"/>
            </a:ext>
          </a:extLst>
        </xdr:cNvPr>
        <xdr:cNvSpPr/>
      </xdr:nvSpPr>
      <xdr:spPr>
        <a:xfrm>
          <a:off x="3814127" y="3723957"/>
          <a:ext cx="6647497" cy="3167063"/>
        </a:xfrm>
        <a:prstGeom prst="wedgeRoundRectCallout">
          <a:avLst>
            <a:gd name="adj1" fmla="val -62801"/>
            <a:gd name="adj2" fmla="val 44680"/>
            <a:gd name="adj3" fmla="val 16667"/>
          </a:avLst>
        </a:prstGeom>
        <a:solidFill>
          <a:srgbClr val="FFFF99"/>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b="1">
              <a:solidFill>
                <a:sysClr val="windowText" lastClr="000000"/>
              </a:solidFill>
              <a:latin typeface="メイリオ" panose="020B0604030504040204" pitchFamily="50" charset="-128"/>
              <a:ea typeface="メイリオ" panose="020B0604030504040204" pitchFamily="50" charset="-128"/>
            </a:rPr>
            <a:t>「付替お申込書」シートに記載した「現在の</a:t>
          </a:r>
          <a:r>
            <a:rPr kumimoji="1" lang="en-US" altLang="ja-JP" sz="1400" b="1">
              <a:solidFill>
                <a:sysClr val="windowText" lastClr="000000"/>
              </a:solidFill>
              <a:latin typeface="メイリオ" panose="020B0604030504040204" pitchFamily="50" charset="-128"/>
              <a:ea typeface="メイリオ" panose="020B0604030504040204" pitchFamily="50" charset="-128"/>
            </a:rPr>
            <a:t>BS</a:t>
          </a:r>
          <a:r>
            <a:rPr kumimoji="1" lang="ja-JP" altLang="en-US" sz="1400" b="1">
              <a:solidFill>
                <a:sysClr val="windowText" lastClr="000000"/>
              </a:solidFill>
              <a:latin typeface="メイリオ" panose="020B0604030504040204" pitchFamily="50" charset="-128"/>
              <a:ea typeface="メイリオ" panose="020B0604030504040204" pitchFamily="50" charset="-128"/>
            </a:rPr>
            <a:t>お客様番号」で見ることのできる請求番号だけを記載ください。</a:t>
          </a:r>
          <a:endParaRPr kumimoji="1" lang="en-US" altLang="ja-JP" sz="1400" b="1">
            <a:solidFill>
              <a:sysClr val="windowText" lastClr="000000"/>
            </a:solidFill>
            <a:latin typeface="メイリオ" panose="020B0604030504040204" pitchFamily="50" charset="-128"/>
            <a:ea typeface="メイリオ" panose="020B0604030504040204" pitchFamily="50" charset="-128"/>
          </a:endParaRPr>
        </a:p>
        <a:p>
          <a:pPr algn="l"/>
          <a:r>
            <a:rPr kumimoji="1" lang="ja-JP" altLang="en-US" sz="1400" b="0">
              <a:solidFill>
                <a:sysClr val="windowText" lastClr="000000"/>
              </a:solidFill>
              <a:latin typeface="メイリオ" panose="020B0604030504040204" pitchFamily="50" charset="-128"/>
              <a:ea typeface="メイリオ" panose="020B0604030504040204" pitchFamily="50" charset="-128"/>
            </a:rPr>
            <a:t>他の</a:t>
          </a:r>
          <a:r>
            <a:rPr kumimoji="1" lang="en-US" altLang="ja-JP" sz="1400" b="0">
              <a:solidFill>
                <a:sysClr val="windowText" lastClr="000000"/>
              </a:solidFill>
              <a:latin typeface="メイリオ" panose="020B0604030504040204" pitchFamily="50" charset="-128"/>
              <a:ea typeface="メイリオ" panose="020B0604030504040204" pitchFamily="50" charset="-128"/>
            </a:rPr>
            <a:t>BS</a:t>
          </a:r>
          <a:r>
            <a:rPr kumimoji="1" lang="ja-JP" altLang="en-US" sz="1400" b="0">
              <a:solidFill>
                <a:sysClr val="windowText" lastClr="000000"/>
              </a:solidFill>
              <a:latin typeface="メイリオ" panose="020B0604030504040204" pitchFamily="50" charset="-128"/>
              <a:ea typeface="メイリオ" panose="020B0604030504040204" pitchFamily="50" charset="-128"/>
            </a:rPr>
            <a:t>お客様番号で見ることができる請求番号を記載いただいても、「付替先</a:t>
          </a:r>
          <a:r>
            <a:rPr kumimoji="1" lang="en-US" altLang="ja-JP" sz="1400" b="0">
              <a:solidFill>
                <a:sysClr val="windowText" lastClr="000000"/>
              </a:solidFill>
              <a:latin typeface="メイリオ" panose="020B0604030504040204" pitchFamily="50" charset="-128"/>
              <a:ea typeface="メイリオ" panose="020B0604030504040204" pitchFamily="50" charset="-128"/>
            </a:rPr>
            <a:t>BS</a:t>
          </a:r>
          <a:r>
            <a:rPr kumimoji="1" lang="ja-JP" altLang="en-US" sz="1400" b="0">
              <a:solidFill>
                <a:sysClr val="windowText" lastClr="000000"/>
              </a:solidFill>
              <a:latin typeface="メイリオ" panose="020B0604030504040204" pitchFamily="50" charset="-128"/>
              <a:ea typeface="メイリオ" panose="020B0604030504040204" pitchFamily="50" charset="-128"/>
            </a:rPr>
            <a:t>お客様番号」に移行はできません。</a:t>
          </a:r>
          <a:endParaRPr kumimoji="1" lang="en-US" altLang="ja-JP" sz="1400" b="0">
            <a:solidFill>
              <a:sysClr val="windowText" lastClr="000000"/>
            </a:solidFill>
            <a:latin typeface="メイリオ" panose="020B0604030504040204" pitchFamily="50" charset="-128"/>
            <a:ea typeface="メイリオ" panose="020B0604030504040204" pitchFamily="50" charset="-128"/>
          </a:endParaRPr>
        </a:p>
        <a:p>
          <a:pPr algn="l"/>
          <a:r>
            <a:rPr kumimoji="1" lang="ja-JP" altLang="en-US" sz="1400" b="1">
              <a:solidFill>
                <a:sysClr val="windowText" lastClr="000000"/>
              </a:solidFill>
              <a:latin typeface="メイリオ" panose="020B0604030504040204" pitchFamily="50" charset="-128"/>
              <a:ea typeface="メイリオ" panose="020B0604030504040204" pitchFamily="50" charset="-128"/>
            </a:rPr>
            <a:t>複数の</a:t>
          </a:r>
          <a:r>
            <a:rPr kumimoji="1" lang="en-US" altLang="ja-JP" sz="1400" b="1">
              <a:solidFill>
                <a:sysClr val="windowText" lastClr="000000"/>
              </a:solidFill>
              <a:latin typeface="メイリオ" panose="020B0604030504040204" pitchFamily="50" charset="-128"/>
              <a:ea typeface="メイリオ" panose="020B0604030504040204" pitchFamily="50" charset="-128"/>
            </a:rPr>
            <a:t>BS</a:t>
          </a:r>
          <a:r>
            <a:rPr kumimoji="1" lang="ja-JP" altLang="en-US" sz="1400" b="1">
              <a:solidFill>
                <a:sysClr val="windowText" lastClr="000000"/>
              </a:solidFill>
              <a:latin typeface="メイリオ" panose="020B0604030504040204" pitchFamily="50" charset="-128"/>
              <a:ea typeface="メイリオ" panose="020B0604030504040204" pitchFamily="50" charset="-128"/>
            </a:rPr>
            <a:t>お客様番号をまとめたい場合は、</a:t>
          </a:r>
          <a:endParaRPr kumimoji="1" lang="en-US" altLang="ja-JP" sz="1400" b="1">
            <a:solidFill>
              <a:sysClr val="windowText" lastClr="000000"/>
            </a:solidFill>
            <a:latin typeface="メイリオ" panose="020B0604030504040204" pitchFamily="50" charset="-128"/>
            <a:ea typeface="メイリオ" panose="020B0604030504040204" pitchFamily="50" charset="-128"/>
          </a:endParaRPr>
        </a:p>
        <a:p>
          <a:pPr algn="l"/>
          <a:r>
            <a:rPr kumimoji="1" lang="ja-JP" altLang="en-US" sz="1400" b="1">
              <a:solidFill>
                <a:sysClr val="windowText" lastClr="000000"/>
              </a:solidFill>
              <a:latin typeface="メイリオ" panose="020B0604030504040204" pitchFamily="50" charset="-128"/>
              <a:ea typeface="メイリオ" panose="020B0604030504040204" pitchFamily="50" charset="-128"/>
            </a:rPr>
            <a:t>お手数ですが「現在の</a:t>
          </a:r>
          <a:r>
            <a:rPr kumimoji="1" lang="en-US" altLang="ja-JP" sz="1400" b="1">
              <a:solidFill>
                <a:sysClr val="windowText" lastClr="000000"/>
              </a:solidFill>
              <a:latin typeface="メイリオ" panose="020B0604030504040204" pitchFamily="50" charset="-128"/>
              <a:ea typeface="メイリオ" panose="020B0604030504040204" pitchFamily="50" charset="-128"/>
            </a:rPr>
            <a:t>BS</a:t>
          </a:r>
          <a:r>
            <a:rPr kumimoji="1" lang="ja-JP" altLang="en-US" sz="1400" b="1">
              <a:solidFill>
                <a:sysClr val="windowText" lastClr="000000"/>
              </a:solidFill>
              <a:latin typeface="メイリオ" panose="020B0604030504040204" pitchFamily="50" charset="-128"/>
              <a:ea typeface="メイリオ" panose="020B0604030504040204" pitchFamily="50" charset="-128"/>
            </a:rPr>
            <a:t>お客様番号」の数だけ申込書を作成ください。</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CCD35D6-A0AD-4020-A1FF-F94A46DD4123}" name="変更付替申込書" displayName="変更付替申込書" ref="A8:AA9" totalsRowShown="0" headerRowDxfId="70" dataDxfId="68" headerRowBorderDxfId="69" tableBorderDxfId="67" totalsRowBorderDxfId="66">
  <autoFilter ref="A8:AA9" xr:uid="{5CCD35D6-A0AD-4020-A1FF-F94A46DD4123}"/>
  <tableColumns count="27">
    <tableColumn id="1" xr3:uid="{42E044FB-CEFE-4F40-AF58-FBB539B44DE6}" name="ファイル名" dataDxfId="65"/>
    <tableColumn id="2" xr3:uid="{1B380286-7DA8-4774-9E07-A8CBE2C21435}" name="お申込年月日" dataDxfId="64">
      <calculatedColumnFormula>ASC(IF(applicationArrivalDate="","",applicationArrivalDate))</calculatedColumnFormula>
    </tableColumn>
    <tableColumn id="3" xr3:uid="{CFBECECD-92D0-48E4-B74B-B1E8A3F54CD0}" name="ご契約者名（会社名）フリガナ" dataDxfId="63">
      <calculatedColumnFormula array="1">IF(SUMPRODUCT(--ISNUMBER(FIND(MID(AA1, ROW(INDIRECT("1:" &amp; LEN(AA1))), 1), "０１２３４５６７８９！＃＄％＆＇’（）＊＋，－．／：；＜＝＞？＠［＼］＾＿｀｛｜｝～・アイウエオカキクケコガギグゲゴサシスセソザジズゼゾタチツテトダヂヅデドナニヌネノハヒフヘホバビブベボパピプペポマミムメモヤユヨラリルレロワヲンヴァィゥェォヵヶッャュョヮー　～")))=LEN(AA1), AA1, 1/0)</calculatedColumnFormula>
    </tableColumn>
    <tableColumn id="4" xr3:uid="{A39313CC-A373-40B4-8880-D66B8595D30D}" name="ご契約者名（会社名）" dataDxfId="62">
      <calculatedColumnFormula>DBCS(SUBSTITUTE(SUBSTITUTE(TRIM(contractCustomerName)," ","　"),CHAR(10),"　"))</calculatedColumnFormula>
    </tableColumn>
    <tableColumn id="13" xr3:uid="{20FA2B69-5369-4E31-B93B-D992BC5B5D44}" name="ご契約名義変更フラグ" dataDxfId="61">
      <calculatedColumnFormula>IF(meigiHenkou="✓",1,0)</calculatedColumnFormula>
    </tableColumn>
    <tableColumn id="5" xr3:uid="{5393E043-6FE9-4735-8FF5-344C38530F80}" name="郵便番号" dataDxfId="60">
      <calculatedColumnFormula>ASC(SUBSTITUTE(contractCustomerPostalNumber,"-",""))</calculatedColumnFormula>
    </tableColumn>
    <tableColumn id="7" xr3:uid="{11F1E5BD-45E2-4830-8CE3-3C1ACC3C872A}" name="ご契約者住所" dataDxfId="59">
      <calculatedColumnFormula>DBCS(SUBSTITUTE(SUBSTITUTE(TRIM(contractCustomerAddress)," ","　"),CHAR(10),"　"))</calculatedColumnFormula>
    </tableColumn>
    <tableColumn id="14" xr3:uid="{ADABF5C8-66C7-4711-AB2A-3943D3786848}" name="ご契約者住所2" dataDxfId="58">
      <calculatedColumnFormula>DBCS(SUBSTITUTE(SUBSTITUTE(TRIM(contractCustomerAddress2)," ","　"),CHAR(10),"　"))</calculatedColumnFormula>
    </tableColumn>
    <tableColumn id="8" xr3:uid="{17E16EAE-CD80-488D-98EC-2F6C612DC47C}" name="ご契約者連絡先　電話番号" dataDxfId="57">
      <calculatedColumnFormula>ASC(SUBSTITUTE(billingStationPhoneNumber,"-",""))</calculatedColumnFormula>
    </tableColumn>
    <tableColumn id="9" xr3:uid="{113052A7-7A4C-4125-BD28-EA89607E178A}" name="ご契約者連絡先　部署名フリガナ" dataDxfId="56">
      <calculatedColumnFormula array="1">IF(SUMPRODUCT(--ISNUMBER(FIND(MID(AA2, ROW(INDIRECT("1:" &amp; LEN(AA2))), 1), "０１２３４５６７８９！＃＄％＆＇’（）＊＋，－．／：；＜＝＞？＠［＼］＾＿｀｛｜｝～・アイウエオカキクケコガギグゲゴサシスセソザジズゼゾタチツテトダヂヅデドナニヌネノハヒフヘホバビブベボパピプペポマミムメモヤユヨラリルレロワヲンヴァィゥェォヵヶッャュョヮー　～")))=LEN(AA2), AA2, 1/0)</calculatedColumnFormula>
    </tableColumn>
    <tableColumn id="10" xr3:uid="{68212616-6281-4223-9465-D7BA731DB06C}" name="ご契約者連絡先　部署名" dataDxfId="55">
      <calculatedColumnFormula>DBCS(SUBSTITUTE(SUBSTITUTE(TRIM(billingStationDeptName)," ","　"),CHAR(10),"　"))</calculatedColumnFormula>
    </tableColumn>
    <tableColumn id="11" xr3:uid="{AD209685-8B97-4DCA-A93C-C592D031CBE4}" name="ご契約者連絡先　担当者名フリガナ" dataDxfId="54">
      <calculatedColumnFormula array="1">IF(SUMPRODUCT(--ISNUMBER(FIND(MID(AA3, ROW(INDIRECT("1:" &amp; LEN(AA3))), 1), "０１２３４５６７８９！＃＄％＆＇’（）＊＋，－．／：；＜＝＞？＠［＼］＾＿｀｛｜｝～・アイウエオカキクケコガギグゲゴサシスセソザジズゼゾタチツテトダヂヅデドナニヌネノハヒフヘホバビブベボパピプペポマミムメモヤユヨラリルレロワヲンヴァィゥェォヵヶッャュョヮー　～")))=LEN(AA3), AA3, 1/0)</calculatedColumnFormula>
    </tableColumn>
    <tableColumn id="12" xr3:uid="{93D80FCB-8A74-40D2-8B4F-8FE6C1873FF1}" name="ご契約者連絡先　担当者名" dataDxfId="53">
      <calculatedColumnFormula>DBCS(SUBSTITUTE(SUBSTITUTE(TRIM(billingStationPerson)," ","　"),CHAR(10),"　"))</calculatedColumnFormula>
    </tableColumn>
    <tableColumn id="23" xr3:uid="{6E83971C-B67E-401E-8AC5-57DC150C5C94}" name="メールアドレス" dataDxfId="52"/>
    <tableColumn id="22" xr3:uid="{48AEBC46-8B88-47DB-B3E5-67BF9251CDA8}" name="認証キー" dataDxfId="51"/>
    <tableColumn id="20" xr3:uid="{46582209-6511-4E81-88C8-4738E83CD729}" name="ご使用データ形式（新規）" dataDxfId="50"/>
    <tableColumn id="24" xr3:uid="{33A8AAAE-5CC6-45AE-BFA1-5EBB1208B528}" name="ご利用データ形式（変更）" dataDxfId="49"/>
    <tableColumn id="15" xr3:uid="{34AA4EEC-CDC7-4452-A765-552DB3D847B2}" name="BSお客様番号" dataDxfId="48">
      <calculatedColumnFormula>ASC(billingStationCustomerNumber)</calculatedColumnFormula>
    </tableColumn>
    <tableColumn id="25" xr3:uid="{3B7F117B-3311-458E-AEE4-A832E6145EA1}" name="申込プラン" dataDxfId="47"/>
    <tableColumn id="16" xr3:uid="{D76E829F-0C51-4137-A3B7-0B14B01C1F85}" name="備考" dataDxfId="46">
      <calculatedColumnFormula>comment&amp;""</calculatedColumnFormula>
    </tableColumn>
    <tableColumn id="17" xr3:uid="{3ACE0277-A267-441B-B446-AD178F0DF60C}" name="販売担当者　部署名" dataDxfId="45">
      <calculatedColumnFormula>salesChannelDeptName&amp;""</calculatedColumnFormula>
    </tableColumn>
    <tableColumn id="18" xr3:uid="{478AB832-2A69-40E3-AA2C-537C9238EC8C}" name="販売担当者　担当者名" dataDxfId="44">
      <calculatedColumnFormula>salesChannelPersonName&amp;""</calculatedColumnFormula>
    </tableColumn>
    <tableColumn id="19" xr3:uid="{EC5410D6-B7F5-4204-A776-64C08D4E5798}" name="販売担当者　電話番号" dataDxfId="43">
      <calculatedColumnFormula>salesChannelPhoneNumber&amp;""</calculatedColumnFormula>
    </tableColumn>
    <tableColumn id="21" xr3:uid="{E60D13D1-A7BD-461B-9623-8723A3074BDC}" name="販売担当者　メールアドレス" dataDxfId="42">
      <calculatedColumnFormula>salesChannelMailAddress&amp;""</calculatedColumnFormula>
    </tableColumn>
    <tableColumn id="26" xr3:uid="{C8EED62A-9326-4939-827F-785C2E8D853D}" name="変更前BSお客様番号" dataDxfId="41">
      <calculatedColumnFormula>ASC(oldbillingStationCustomerNumber)</calculatedColumnFormula>
    </tableColumn>
    <tableColumn id="6" xr3:uid="{40D3BCA2-BA21-4BCE-AD3D-87793FAD4137}" name="列1" dataDxfId="40"/>
    <tableColumn id="27" xr3:uid="{DB7C3E89-8457-48F4-AF7B-BB81729109A1}" name="エラー数チェック" dataDxfId="39">
      <calculatedColumnFormula array="1">SUMPRODUCT(ISERROR(変更付替申込書[[#This Row],[ファイル名]:[列1]])*1)</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6BEBB5D-C1A1-4057-B46F-A767E7F8339D}" name="申込書バージョン" displayName="申込書バージョン" ref="A3:B4" totalsRowShown="0" dataDxfId="38">
  <autoFilter ref="A3:B4" xr:uid="{06BEBB5D-C1A1-4057-B46F-A767E7F8339D}"/>
  <tableColumns count="2">
    <tableColumn id="1" xr3:uid="{A91A735B-BD82-497E-89F5-F772DDF1B1B1}" name="バージョン" dataDxfId="37">
      <calculatedColumnFormula>formVersion</calculatedColumnFormula>
    </tableColumn>
    <tableColumn id="2" xr3:uid="{CEC9E957-4851-49AB-877F-F16DEF9A95A4}" name="用途" dataDxfId="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699278A-AB5A-43A0-8258-A442AF09B360}" name="様式" displayName="様式" ref="D3:D4" totalsRowShown="0">
  <autoFilter ref="D3:D4" xr:uid="{3699278A-AB5A-43A0-8258-A442AF09B360}"/>
  <tableColumns count="1">
    <tableColumn id="1" xr3:uid="{71D8FF51-A7A1-4FB6-B14C-C2646933DE27}" name="名称"/>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BFD32B30-BC9C-48F2-BF8F-E0DFF05EAFF3}" name="削除番明" displayName="削除番明" ref="A12:L262" totalsRowShown="0">
  <autoFilter ref="A12:L262" xr:uid="{BFD32B30-BC9C-48F2-BF8F-E0DFF05EAFF3}"/>
  <tableColumns count="12">
    <tableColumn id="1" xr3:uid="{7712E579-C9B7-4A00-818C-A9B48700496A}" name="項番"/>
    <tableColumn id="2" xr3:uid="{AE1C8B06-4553-448B-A49F-F4582F37001E}" name="申込区分"/>
    <tableColumn id="3" xr3:uid="{B2A1BE84-6815-407C-B569-47705A350B79}" name="請求種別"/>
    <tableColumn id="4" xr3:uid="{36E642FC-8C2D-486C-8B10-83550F512286}" name="ご請求番号"/>
    <tableColumn id="5" xr3:uid="{1351E1EF-4C6F-44EA-9383-1CACEA293502}" name="請求番号ハイフンなし" dataDxfId="35">
      <calculatedColumnFormula>UPPER(SUBSTITUTE(削除番明[[#This Row],[ご請求番号]],"-",""))</calculatedColumnFormula>
    </tableColumn>
    <tableColumn id="6" xr3:uid="{46380109-6F8C-4D24-8FA2-35ECC858D306}" name="ご契約番号" dataDxfId="34"/>
    <tableColumn id="7" xr3:uid="{C98DB2A0-D685-4AEA-B035-DA929DE73436}" name="会社コード有無" dataDxfId="33"/>
    <tableColumn id="8" xr3:uid="{00A51751-7D34-40AD-95D2-96BEA2E86874}" name="対象会社コード" dataDxfId="32"/>
    <tableColumn id="9" xr3:uid="{5F77EA1C-DA04-41C4-8D0A-47D63EBFDD90}" name="一括フラグ（ACCEL）" dataDxfId="31"/>
    <tableColumn id="10" xr3:uid="{A4409AF6-0316-42CB-89AA-011FA246468E}" name="分割有無" dataDxfId="30"/>
    <tableColumn id="11" xr3:uid="{E22F73E7-8C3A-4386-BA1D-7A82FB68F6EA}" name="分割番号（BELUGA）" dataDxfId="29"/>
    <tableColumn id="12" xr3:uid="{CE9F8630-B194-4DA6-90C8-88B039D92B30}" name="取得要否"/>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549AE792-0DC3-4C24-AD85-F59AA0DCC409}" name="追加番明" displayName="追加番明" ref="A266:L516" totalsRowShown="0">
  <autoFilter ref="A266:L516" xr:uid="{549AE792-0DC3-4C24-AD85-F59AA0DCC409}"/>
  <tableColumns count="12">
    <tableColumn id="1" xr3:uid="{6F6015AB-2C5C-4871-A584-62FA4B564B40}" name="項番"/>
    <tableColumn id="2" xr3:uid="{7EB93D3A-C4ED-42C9-B3F5-4F8E599807EF}" name="申込区分"/>
    <tableColumn id="3" xr3:uid="{732094B1-1DAD-4C2A-A8BE-76A815724AB6}" name="請求種別"/>
    <tableColumn id="4" xr3:uid="{5FECF9EC-83FD-4CB0-A575-CFC58E091057}" name="ご請求番号"/>
    <tableColumn id="5" xr3:uid="{E46D57A5-580C-4146-BEB3-DDE9D7E7E269}" name="請求番号ハイフンなし" dataDxfId="28">
      <calculatedColumnFormula>UPPER(SUBSTITUTE(追加番明[[#This Row],[ご請求番号]],"-",""))</calculatedColumnFormula>
    </tableColumn>
    <tableColumn id="6" xr3:uid="{EDA5FFFE-59C7-4C3D-91B1-B75BDD190FF9}" name="ご契約番号" dataDxfId="27"/>
    <tableColumn id="7" xr3:uid="{1C3EBA53-81BC-428A-9628-96B5296DC429}" name="会社コード有無" dataDxfId="26"/>
    <tableColumn id="8" xr3:uid="{54545D45-E642-4162-B7F4-578DEBAC176F}" name="対象会社コード" dataDxfId="25"/>
    <tableColumn id="9" xr3:uid="{9C65F902-634F-494D-8281-D01EFC00CD42}" name="一括フラグ（ACCEL）" dataDxfId="24"/>
    <tableColumn id="10" xr3:uid="{A34EF9CA-6A04-447D-B907-63A607D2B6FA}" name="分割有無" dataDxfId="23"/>
    <tableColumn id="11" xr3:uid="{96BFC156-1CD3-4399-B243-ED4D80EA5C0C}" name="分割番号（BELUGA）" dataDxfId="22"/>
    <tableColumn id="12" xr3:uid="{B46353C1-A98F-4CE6-BD49-C93AFD1052A1}" name="取得要否"/>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5.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fitToPage="1"/>
  </sheetPr>
  <dimension ref="A1:AJ50"/>
  <sheetViews>
    <sheetView showGridLines="0" tabSelected="1" zoomScale="80" zoomScaleNormal="80" zoomScaleSheetLayoutView="90" workbookViewId="0">
      <selection activeCell="K10" sqref="K10:AE10"/>
    </sheetView>
  </sheetViews>
  <sheetFormatPr defaultColWidth="9" defaultRowHeight="13.5"/>
  <cols>
    <col min="1" max="4" width="6.125" style="30" customWidth="1"/>
    <col min="5" max="9" width="4.625" style="30" customWidth="1"/>
    <col min="10" max="10" width="5.25" style="30" customWidth="1"/>
    <col min="11" max="12" width="3.125" style="30" customWidth="1"/>
    <col min="13" max="18" width="3.375" style="30" customWidth="1"/>
    <col min="19" max="28" width="3.125" style="30" customWidth="1"/>
    <col min="29" max="34" width="6.125" style="30" customWidth="1"/>
    <col min="35" max="35" width="8.375" style="30" customWidth="1"/>
    <col min="36" max="36" width="7.75" style="30" customWidth="1"/>
    <col min="37" max="57" width="3.625" style="30" customWidth="1"/>
    <col min="58" max="16384" width="9" style="30"/>
  </cols>
  <sheetData>
    <row r="1" spans="1:36" ht="13.5" customHeight="1">
      <c r="A1" s="193"/>
      <c r="B1" s="193"/>
      <c r="C1" s="193"/>
      <c r="D1" s="193"/>
      <c r="E1" s="193"/>
      <c r="F1" s="193"/>
      <c r="G1" s="193"/>
      <c r="H1" s="193"/>
      <c r="I1" s="193"/>
      <c r="J1" s="193"/>
      <c r="K1" s="193"/>
      <c r="L1" s="193"/>
      <c r="M1" s="193"/>
      <c r="N1" s="193"/>
      <c r="O1" s="193"/>
      <c r="P1" s="193"/>
      <c r="Q1" s="193"/>
      <c r="R1" s="193"/>
      <c r="S1" s="193"/>
      <c r="T1" s="193"/>
      <c r="U1" s="193"/>
      <c r="V1" s="193"/>
      <c r="W1" s="193"/>
      <c r="X1" s="193"/>
      <c r="Y1" s="193"/>
      <c r="Z1" s="193"/>
      <c r="AA1" s="193"/>
      <c r="AB1" s="193"/>
      <c r="AC1" s="193"/>
      <c r="AD1" s="193"/>
      <c r="AE1" s="193"/>
    </row>
    <row r="2" spans="1:36" ht="13.5" customHeight="1">
      <c r="A2" s="193"/>
      <c r="B2" s="193"/>
      <c r="C2" s="193"/>
      <c r="D2" s="193"/>
      <c r="E2" s="193"/>
      <c r="F2" s="193"/>
      <c r="G2" s="193"/>
      <c r="H2" s="193"/>
      <c r="I2" s="193"/>
      <c r="J2" s="193"/>
      <c r="K2" s="193"/>
      <c r="L2" s="193"/>
      <c r="M2" s="193"/>
      <c r="N2" s="193"/>
      <c r="O2" s="193"/>
      <c r="P2" s="193"/>
      <c r="Q2" s="193"/>
      <c r="R2" s="193"/>
      <c r="S2" s="193"/>
      <c r="T2" s="193"/>
      <c r="U2" s="193"/>
      <c r="V2" s="193"/>
      <c r="W2" s="193"/>
      <c r="X2" s="193"/>
      <c r="Y2" s="193"/>
      <c r="Z2" s="193"/>
      <c r="AA2" s="193"/>
      <c r="AB2" s="193"/>
      <c r="AC2" s="193"/>
      <c r="AD2" s="193"/>
      <c r="AE2" s="193"/>
    </row>
    <row r="3" spans="1:36" ht="13.5" customHeight="1">
      <c r="A3" s="31"/>
      <c r="B3" s="31"/>
      <c r="C3" s="31"/>
      <c r="D3" s="31"/>
      <c r="E3" s="31"/>
      <c r="F3" s="31"/>
      <c r="G3" s="31"/>
      <c r="H3" s="31"/>
      <c r="I3" s="31"/>
      <c r="J3" s="31"/>
      <c r="K3" s="31"/>
      <c r="L3" s="31"/>
      <c r="M3" s="31"/>
      <c r="N3" s="31"/>
      <c r="O3" s="31"/>
      <c r="P3" s="31"/>
      <c r="Q3" s="31"/>
      <c r="R3" s="31"/>
      <c r="S3" s="31"/>
      <c r="T3" s="31"/>
      <c r="U3" s="31"/>
      <c r="V3" s="31"/>
      <c r="W3" s="31"/>
      <c r="X3" s="31"/>
      <c r="Y3" s="31"/>
      <c r="Z3" s="31"/>
      <c r="AA3" s="31"/>
      <c r="AB3" s="31"/>
      <c r="AC3" s="31"/>
      <c r="AD3" s="31"/>
      <c r="AE3" s="31"/>
    </row>
    <row r="4" spans="1:36" ht="13.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c r="AB4" s="31"/>
      <c r="AC4" s="31"/>
      <c r="AD4" s="31"/>
      <c r="AE4" s="31"/>
    </row>
    <row r="5" spans="1:36" ht="19.899999999999999" customHeight="1">
      <c r="A5" s="31"/>
      <c r="B5" s="31"/>
      <c r="C5" s="31"/>
      <c r="D5" s="31"/>
      <c r="E5" s="31"/>
      <c r="F5" s="31"/>
      <c r="G5" s="31"/>
      <c r="H5" s="31"/>
      <c r="I5" s="31"/>
      <c r="J5" s="31"/>
      <c r="K5" s="31"/>
      <c r="L5" s="31"/>
      <c r="M5" s="31"/>
      <c r="N5" s="31"/>
      <c r="O5" s="31"/>
      <c r="P5" s="31"/>
      <c r="Q5" s="31"/>
      <c r="R5" s="31"/>
      <c r="S5" s="31"/>
      <c r="T5" s="31"/>
      <c r="U5" s="31"/>
      <c r="V5" s="31"/>
      <c r="W5" s="31"/>
      <c r="X5" s="31"/>
      <c r="Y5" s="31"/>
      <c r="Z5" s="31"/>
      <c r="AA5" s="31"/>
      <c r="AB5" s="31"/>
      <c r="AC5" s="31"/>
      <c r="AD5" s="31"/>
      <c r="AE5" s="31"/>
      <c r="AF5" s="231" t="s">
        <v>207</v>
      </c>
      <c r="AG5" s="232"/>
      <c r="AH5" s="32" t="s">
        <v>55</v>
      </c>
      <c r="AI5" s="33">
        <v>2.2999999999999998</v>
      </c>
    </row>
    <row r="6" spans="1:36" ht="43.15" customHeight="1">
      <c r="A6" s="199" t="s">
        <v>219</v>
      </c>
      <c r="B6" s="199"/>
      <c r="C6" s="199"/>
      <c r="D6" s="199"/>
      <c r="E6" s="199"/>
      <c r="F6" s="199"/>
      <c r="G6" s="199"/>
      <c r="H6" s="199"/>
      <c r="I6" s="199"/>
      <c r="J6" s="199"/>
      <c r="K6" s="199"/>
      <c r="L6" s="199"/>
      <c r="M6" s="199"/>
      <c r="N6" s="199"/>
      <c r="O6" s="199"/>
      <c r="P6" s="199"/>
      <c r="Q6" s="199"/>
      <c r="R6" s="199"/>
      <c r="S6" s="199"/>
      <c r="T6" s="199"/>
      <c r="U6" s="199"/>
      <c r="V6" s="199"/>
      <c r="W6" s="199"/>
      <c r="X6" s="199"/>
      <c r="Y6" s="199"/>
      <c r="Z6" s="199"/>
      <c r="AA6" s="199"/>
      <c r="AB6" s="199"/>
      <c r="AC6" s="199"/>
      <c r="AD6" s="199"/>
      <c r="AE6" s="34"/>
      <c r="AF6" s="34"/>
      <c r="AG6" s="34"/>
      <c r="AJ6" s="34"/>
    </row>
    <row r="7" spans="1:36" ht="135" customHeight="1">
      <c r="A7" s="35"/>
    </row>
    <row r="8" spans="1:36" ht="135" customHeight="1">
      <c r="A8" s="35"/>
    </row>
    <row r="9" spans="1:36" ht="21" customHeight="1" thickBot="1">
      <c r="A9" s="36" t="s">
        <v>0</v>
      </c>
    </row>
    <row r="10" spans="1:36" ht="44.45" customHeight="1">
      <c r="A10" s="200" t="s">
        <v>165</v>
      </c>
      <c r="B10" s="201"/>
      <c r="C10" s="201"/>
      <c r="D10" s="201"/>
      <c r="E10" s="201"/>
      <c r="F10" s="201"/>
      <c r="G10" s="201"/>
      <c r="H10" s="201"/>
      <c r="I10" s="201"/>
      <c r="J10" s="202"/>
      <c r="K10" s="215"/>
      <c r="L10" s="216"/>
      <c r="M10" s="216"/>
      <c r="N10" s="216"/>
      <c r="O10" s="216"/>
      <c r="P10" s="216"/>
      <c r="Q10" s="216"/>
      <c r="R10" s="216"/>
      <c r="S10" s="216"/>
      <c r="T10" s="216"/>
      <c r="U10" s="216"/>
      <c r="V10" s="216"/>
      <c r="W10" s="216"/>
      <c r="X10" s="216"/>
      <c r="Y10" s="216"/>
      <c r="Z10" s="216"/>
      <c r="AA10" s="216"/>
      <c r="AB10" s="216"/>
      <c r="AC10" s="216"/>
      <c r="AD10" s="216"/>
      <c r="AE10" s="217"/>
      <c r="AF10" s="206" t="s">
        <v>157</v>
      </c>
      <c r="AG10" s="207"/>
      <c r="AH10" s="207"/>
      <c r="AI10" s="207"/>
      <c r="AJ10" s="208"/>
    </row>
    <row r="11" spans="1:36" ht="44.45" customHeight="1">
      <c r="A11" s="203" t="s">
        <v>193</v>
      </c>
      <c r="B11" s="204"/>
      <c r="C11" s="204"/>
      <c r="D11" s="204"/>
      <c r="E11" s="204"/>
      <c r="F11" s="204"/>
      <c r="G11" s="204"/>
      <c r="H11" s="204"/>
      <c r="I11" s="205"/>
      <c r="J11" s="127" t="s">
        <v>46</v>
      </c>
      <c r="K11" s="218"/>
      <c r="L11" s="218"/>
      <c r="M11" s="218"/>
      <c r="N11" s="218"/>
      <c r="O11" s="218"/>
      <c r="P11" s="218"/>
      <c r="Q11" s="218"/>
      <c r="R11" s="218"/>
      <c r="S11" s="218"/>
      <c r="T11" s="218"/>
      <c r="U11" s="218"/>
      <c r="V11" s="218"/>
      <c r="W11" s="218"/>
      <c r="X11" s="218"/>
      <c r="Y11" s="218"/>
      <c r="Z11" s="218"/>
      <c r="AA11" s="218"/>
      <c r="AB11" s="218"/>
      <c r="AC11" s="218"/>
      <c r="AD11" s="218"/>
      <c r="AE11" s="219"/>
      <c r="AF11" s="225" t="s">
        <v>213</v>
      </c>
      <c r="AG11" s="226"/>
      <c r="AH11" s="226"/>
      <c r="AI11" s="226"/>
      <c r="AJ11" s="227"/>
    </row>
    <row r="12" spans="1:36" ht="44.45" customHeight="1">
      <c r="A12" s="203" t="s">
        <v>192</v>
      </c>
      <c r="B12" s="204"/>
      <c r="C12" s="204"/>
      <c r="D12" s="204"/>
      <c r="E12" s="204"/>
      <c r="F12" s="204"/>
      <c r="G12" s="204"/>
      <c r="H12" s="204"/>
      <c r="I12" s="205"/>
      <c r="J12" s="127" t="s">
        <v>46</v>
      </c>
      <c r="K12" s="218"/>
      <c r="L12" s="218"/>
      <c r="M12" s="218"/>
      <c r="N12" s="218"/>
      <c r="O12" s="218"/>
      <c r="P12" s="218"/>
      <c r="Q12" s="218"/>
      <c r="R12" s="218"/>
      <c r="S12" s="218"/>
      <c r="T12" s="218"/>
      <c r="U12" s="218"/>
      <c r="V12" s="218"/>
      <c r="W12" s="218"/>
      <c r="X12" s="218"/>
      <c r="Y12" s="218"/>
      <c r="Z12" s="218"/>
      <c r="AA12" s="218"/>
      <c r="AB12" s="218"/>
      <c r="AC12" s="218"/>
      <c r="AD12" s="218"/>
      <c r="AE12" s="219"/>
      <c r="AF12" s="228"/>
      <c r="AG12" s="229"/>
      <c r="AH12" s="229"/>
      <c r="AI12" s="229"/>
      <c r="AJ12" s="230"/>
    </row>
    <row r="13" spans="1:36" ht="22.15" customHeight="1">
      <c r="A13" s="194" t="s">
        <v>103</v>
      </c>
      <c r="B13" s="195"/>
      <c r="C13" s="195"/>
      <c r="D13" s="196"/>
      <c r="E13" s="56" t="s">
        <v>187</v>
      </c>
      <c r="F13" s="57"/>
      <c r="G13" s="57"/>
      <c r="H13" s="57"/>
      <c r="I13" s="57"/>
      <c r="J13" s="58"/>
      <c r="K13" s="159"/>
      <c r="L13" s="220"/>
      <c r="M13" s="220"/>
      <c r="N13" s="220"/>
      <c r="O13" s="220"/>
      <c r="P13" s="220"/>
      <c r="Q13" s="220"/>
      <c r="R13" s="220"/>
      <c r="S13" s="220"/>
      <c r="T13" s="220"/>
      <c r="U13" s="220"/>
      <c r="V13" s="220"/>
      <c r="W13" s="220"/>
      <c r="X13" s="220"/>
      <c r="Y13" s="220"/>
      <c r="Z13" s="220"/>
      <c r="AA13" s="220"/>
      <c r="AB13" s="220"/>
      <c r="AC13" s="220"/>
      <c r="AD13" s="220"/>
      <c r="AE13" s="221"/>
      <c r="AF13" s="209" t="s">
        <v>201</v>
      </c>
      <c r="AG13" s="210"/>
      <c r="AH13" s="210"/>
      <c r="AI13" s="210"/>
      <c r="AJ13" s="211"/>
    </row>
    <row r="14" spans="1:36" ht="40.15" customHeight="1">
      <c r="A14" s="197"/>
      <c r="B14" s="198"/>
      <c r="C14" s="198"/>
      <c r="D14" s="198"/>
      <c r="E14" s="61"/>
      <c r="F14" s="61"/>
      <c r="G14" s="61"/>
      <c r="H14" s="61"/>
      <c r="I14" s="61"/>
      <c r="J14" s="62"/>
      <c r="K14" s="222"/>
      <c r="L14" s="223"/>
      <c r="M14" s="223"/>
      <c r="N14" s="223"/>
      <c r="O14" s="223"/>
      <c r="P14" s="223"/>
      <c r="Q14" s="223"/>
      <c r="R14" s="223"/>
      <c r="S14" s="223"/>
      <c r="T14" s="223"/>
      <c r="U14" s="223"/>
      <c r="V14" s="223"/>
      <c r="W14" s="223"/>
      <c r="X14" s="223"/>
      <c r="Y14" s="223"/>
      <c r="Z14" s="223"/>
      <c r="AA14" s="223"/>
      <c r="AB14" s="223"/>
      <c r="AC14" s="223"/>
      <c r="AD14" s="223"/>
      <c r="AE14" s="224"/>
      <c r="AF14" s="212"/>
      <c r="AG14" s="213"/>
      <c r="AH14" s="213"/>
      <c r="AI14" s="213"/>
      <c r="AJ14" s="214"/>
    </row>
    <row r="15" spans="1:36" ht="27.6" customHeight="1">
      <c r="A15" s="142" t="s">
        <v>125</v>
      </c>
      <c r="B15" s="143"/>
      <c r="C15" s="143"/>
      <c r="D15" s="143"/>
      <c r="E15" s="143"/>
      <c r="F15" s="143"/>
      <c r="G15" s="143"/>
      <c r="H15" s="143"/>
      <c r="I15" s="144"/>
      <c r="J15" s="79" t="s">
        <v>1</v>
      </c>
      <c r="K15" s="140"/>
      <c r="L15" s="140"/>
      <c r="M15" s="140"/>
      <c r="N15" s="140"/>
      <c r="O15" s="140"/>
      <c r="P15" s="140"/>
      <c r="Q15" s="140"/>
      <c r="R15" s="140"/>
      <c r="S15" s="140"/>
      <c r="T15" s="140"/>
      <c r="U15" s="140"/>
      <c r="V15" s="140"/>
      <c r="W15" s="140"/>
      <c r="X15" s="140"/>
      <c r="Y15" s="140"/>
      <c r="Z15" s="140"/>
      <c r="AA15" s="140"/>
      <c r="AB15" s="140"/>
      <c r="AC15" s="140"/>
      <c r="AD15" s="140"/>
      <c r="AE15" s="141"/>
      <c r="AF15" s="136" t="s">
        <v>126</v>
      </c>
      <c r="AG15" s="137"/>
      <c r="AH15" s="137"/>
      <c r="AI15" s="137"/>
      <c r="AJ15" s="138"/>
    </row>
    <row r="16" spans="1:36" ht="34.9" hidden="1" customHeight="1">
      <c r="B16" s="63"/>
      <c r="C16" s="63"/>
      <c r="D16" s="64"/>
      <c r="E16" s="59"/>
      <c r="F16" s="65"/>
      <c r="G16" s="65"/>
      <c r="H16" s="65"/>
      <c r="I16" s="65"/>
      <c r="J16" s="60"/>
      <c r="K16" s="66"/>
      <c r="L16" s="67"/>
      <c r="M16" s="67"/>
      <c r="N16" s="67"/>
      <c r="O16" s="67"/>
      <c r="P16" s="67"/>
      <c r="Q16" s="67"/>
      <c r="R16" s="67"/>
      <c r="S16" s="67"/>
      <c r="T16" s="67"/>
      <c r="U16" s="67"/>
      <c r="V16" s="67"/>
      <c r="W16" s="67"/>
      <c r="X16" s="67"/>
      <c r="Y16" s="67"/>
      <c r="Z16" s="67"/>
      <c r="AA16" s="67"/>
      <c r="AB16" s="67"/>
      <c r="AC16" s="67"/>
      <c r="AD16" s="67"/>
      <c r="AE16" s="68"/>
      <c r="AF16" s="136"/>
      <c r="AG16" s="137"/>
      <c r="AH16" s="137"/>
      <c r="AI16" s="137"/>
      <c r="AJ16" s="138"/>
    </row>
    <row r="17" spans="1:36" ht="57.6" customHeight="1">
      <c r="A17" s="142" t="s">
        <v>102</v>
      </c>
      <c r="B17" s="143"/>
      <c r="C17" s="143"/>
      <c r="D17" s="144"/>
      <c r="E17" s="154" t="s">
        <v>188</v>
      </c>
      <c r="F17" s="155"/>
      <c r="G17" s="155"/>
      <c r="H17" s="155"/>
      <c r="I17" s="155"/>
      <c r="J17" s="156"/>
      <c r="K17" s="151"/>
      <c r="L17" s="152"/>
      <c r="M17" s="152"/>
      <c r="N17" s="152"/>
      <c r="O17" s="152"/>
      <c r="P17" s="152"/>
      <c r="Q17" s="152"/>
      <c r="R17" s="152"/>
      <c r="S17" s="152"/>
      <c r="T17" s="152"/>
      <c r="U17" s="152"/>
      <c r="V17" s="152"/>
      <c r="W17" s="152"/>
      <c r="X17" s="152"/>
      <c r="Y17" s="152"/>
      <c r="Z17" s="152"/>
      <c r="AA17" s="152"/>
      <c r="AB17" s="152"/>
      <c r="AC17" s="152"/>
      <c r="AD17" s="152"/>
      <c r="AE17" s="153"/>
      <c r="AF17" s="148" t="s">
        <v>76</v>
      </c>
      <c r="AG17" s="149"/>
      <c r="AH17" s="149"/>
      <c r="AI17" s="149"/>
      <c r="AJ17" s="150"/>
    </row>
    <row r="18" spans="1:36" ht="57.6" customHeight="1">
      <c r="A18" s="145"/>
      <c r="B18" s="146"/>
      <c r="C18" s="146"/>
      <c r="D18" s="147"/>
      <c r="E18" s="154" t="s">
        <v>101</v>
      </c>
      <c r="F18" s="155"/>
      <c r="G18" s="155"/>
      <c r="H18" s="155"/>
      <c r="I18" s="155"/>
      <c r="J18" s="156"/>
      <c r="K18" s="151"/>
      <c r="L18" s="152"/>
      <c r="M18" s="152"/>
      <c r="N18" s="152"/>
      <c r="O18" s="152"/>
      <c r="P18" s="152"/>
      <c r="Q18" s="152"/>
      <c r="R18" s="152"/>
      <c r="S18" s="152"/>
      <c r="T18" s="152"/>
      <c r="U18" s="152"/>
      <c r="V18" s="152"/>
      <c r="W18" s="152"/>
      <c r="X18" s="152"/>
      <c r="Y18" s="152"/>
      <c r="Z18" s="152"/>
      <c r="AA18" s="152"/>
      <c r="AB18" s="152"/>
      <c r="AC18" s="152"/>
      <c r="AD18" s="152"/>
      <c r="AE18" s="153"/>
      <c r="AF18" s="148" t="s">
        <v>77</v>
      </c>
      <c r="AG18" s="149"/>
      <c r="AH18" s="149"/>
      <c r="AI18" s="149"/>
      <c r="AJ18" s="150"/>
    </row>
    <row r="19" spans="1:36" ht="24.6" customHeight="1">
      <c r="A19" s="240" t="s">
        <v>3</v>
      </c>
      <c r="B19" s="241"/>
      <c r="C19" s="241"/>
      <c r="D19" s="241"/>
      <c r="E19" s="246" t="s">
        <v>189</v>
      </c>
      <c r="F19" s="247"/>
      <c r="G19" s="247"/>
      <c r="H19" s="247"/>
      <c r="I19" s="247"/>
      <c r="J19" s="248"/>
      <c r="K19" s="139"/>
      <c r="L19" s="140"/>
      <c r="M19" s="140"/>
      <c r="N19" s="140"/>
      <c r="O19" s="140"/>
      <c r="P19" s="140"/>
      <c r="Q19" s="140"/>
      <c r="R19" s="140"/>
      <c r="S19" s="140"/>
      <c r="T19" s="140"/>
      <c r="U19" s="140"/>
      <c r="V19" s="140"/>
      <c r="W19" s="140"/>
      <c r="X19" s="140"/>
      <c r="Y19" s="140"/>
      <c r="Z19" s="140"/>
      <c r="AA19" s="140"/>
      <c r="AB19" s="140"/>
      <c r="AC19" s="140"/>
      <c r="AD19" s="140"/>
      <c r="AE19" s="141"/>
      <c r="AF19" s="136" t="s">
        <v>127</v>
      </c>
      <c r="AG19" s="137"/>
      <c r="AH19" s="137"/>
      <c r="AI19" s="137"/>
      <c r="AJ19" s="138"/>
    </row>
    <row r="20" spans="1:36" ht="20.45" customHeight="1">
      <c r="A20" s="242"/>
      <c r="B20" s="243"/>
      <c r="C20" s="243"/>
      <c r="D20" s="243"/>
      <c r="E20" s="56" t="s">
        <v>100</v>
      </c>
      <c r="F20" s="69"/>
      <c r="G20" s="70"/>
      <c r="H20" s="69"/>
      <c r="I20" s="69"/>
      <c r="J20" s="71"/>
      <c r="K20" s="159"/>
      <c r="L20" s="160"/>
      <c r="M20" s="160"/>
      <c r="N20" s="160"/>
      <c r="O20" s="160"/>
      <c r="P20" s="160"/>
      <c r="Q20" s="160"/>
      <c r="R20" s="160"/>
      <c r="S20" s="160"/>
      <c r="T20" s="160"/>
      <c r="U20" s="160"/>
      <c r="V20" s="160"/>
      <c r="W20" s="160"/>
      <c r="X20" s="160"/>
      <c r="Y20" s="160"/>
      <c r="Z20" s="160"/>
      <c r="AA20" s="160"/>
      <c r="AB20" s="160"/>
      <c r="AC20" s="160"/>
      <c r="AD20" s="160"/>
      <c r="AE20" s="160"/>
      <c r="AF20" s="160"/>
      <c r="AG20" s="160"/>
      <c r="AH20" s="160"/>
      <c r="AI20" s="160"/>
      <c r="AJ20" s="161"/>
    </row>
    <row r="21" spans="1:36" ht="32.450000000000003" customHeight="1">
      <c r="A21" s="242"/>
      <c r="B21" s="243"/>
      <c r="C21" s="243"/>
      <c r="D21" s="243"/>
      <c r="E21" s="72" t="s">
        <v>4</v>
      </c>
      <c r="F21" s="73"/>
      <c r="G21" s="74"/>
      <c r="H21" s="74"/>
      <c r="I21" s="74"/>
      <c r="J21" s="75"/>
      <c r="K21" s="162"/>
      <c r="L21" s="163"/>
      <c r="M21" s="163"/>
      <c r="N21" s="163"/>
      <c r="O21" s="163"/>
      <c r="P21" s="163"/>
      <c r="Q21" s="163"/>
      <c r="R21" s="163"/>
      <c r="S21" s="163"/>
      <c r="T21" s="163"/>
      <c r="U21" s="163"/>
      <c r="V21" s="163"/>
      <c r="W21" s="163"/>
      <c r="X21" s="163"/>
      <c r="Y21" s="163"/>
      <c r="Z21" s="163"/>
      <c r="AA21" s="163"/>
      <c r="AB21" s="163"/>
      <c r="AC21" s="163"/>
      <c r="AD21" s="163"/>
      <c r="AE21" s="163"/>
      <c r="AF21" s="163"/>
      <c r="AG21" s="163"/>
      <c r="AH21" s="163"/>
      <c r="AI21" s="163"/>
      <c r="AJ21" s="164"/>
    </row>
    <row r="22" spans="1:36" ht="22.15" customHeight="1">
      <c r="A22" s="242"/>
      <c r="B22" s="243"/>
      <c r="C22" s="243"/>
      <c r="D22" s="243"/>
      <c r="E22" s="56" t="s">
        <v>187</v>
      </c>
      <c r="F22" s="69"/>
      <c r="G22" s="69"/>
      <c r="H22" s="69"/>
      <c r="I22" s="69"/>
      <c r="J22" s="71"/>
      <c r="K22" s="165"/>
      <c r="L22" s="166"/>
      <c r="M22" s="166"/>
      <c r="N22" s="166"/>
      <c r="O22" s="166"/>
      <c r="P22" s="166"/>
      <c r="Q22" s="166"/>
      <c r="R22" s="166"/>
      <c r="S22" s="166"/>
      <c r="T22" s="166"/>
      <c r="U22" s="166"/>
      <c r="V22" s="166"/>
      <c r="W22" s="166"/>
      <c r="X22" s="166"/>
      <c r="Y22" s="166"/>
      <c r="Z22" s="166"/>
      <c r="AA22" s="166"/>
      <c r="AB22" s="166"/>
      <c r="AC22" s="166"/>
      <c r="AD22" s="166"/>
      <c r="AE22" s="166"/>
      <c r="AF22" s="166"/>
      <c r="AG22" s="166"/>
      <c r="AH22" s="166"/>
      <c r="AI22" s="166"/>
      <c r="AJ22" s="167"/>
    </row>
    <row r="23" spans="1:36" ht="40.9" customHeight="1" thickBot="1">
      <c r="A23" s="244"/>
      <c r="B23" s="245"/>
      <c r="C23" s="245"/>
      <c r="D23" s="245"/>
      <c r="E23" s="76" t="s">
        <v>190</v>
      </c>
      <c r="F23" s="77"/>
      <c r="G23" s="77"/>
      <c r="H23" s="77"/>
      <c r="I23" s="77"/>
      <c r="J23" s="78"/>
      <c r="K23" s="168"/>
      <c r="L23" s="169"/>
      <c r="M23" s="169"/>
      <c r="N23" s="169"/>
      <c r="O23" s="169"/>
      <c r="P23" s="169"/>
      <c r="Q23" s="169"/>
      <c r="R23" s="169"/>
      <c r="S23" s="169"/>
      <c r="T23" s="169"/>
      <c r="U23" s="169"/>
      <c r="V23" s="169"/>
      <c r="W23" s="169"/>
      <c r="X23" s="169"/>
      <c r="Y23" s="169"/>
      <c r="Z23" s="169"/>
      <c r="AA23" s="169"/>
      <c r="AB23" s="169"/>
      <c r="AC23" s="169"/>
      <c r="AD23" s="169"/>
      <c r="AE23" s="169"/>
      <c r="AF23" s="169"/>
      <c r="AG23" s="169"/>
      <c r="AH23" s="169"/>
      <c r="AI23" s="169"/>
      <c r="AJ23" s="170"/>
    </row>
    <row r="24" spans="1:36">
      <c r="A24" s="37"/>
      <c r="B24" s="37"/>
      <c r="C24" s="37"/>
      <c r="D24" s="37"/>
      <c r="E24" s="37"/>
      <c r="F24" s="37"/>
      <c r="G24" s="37"/>
      <c r="H24" s="37"/>
      <c r="I24" s="37"/>
      <c r="J24" s="37"/>
      <c r="K24" s="157"/>
      <c r="L24" s="157"/>
      <c r="M24" s="157"/>
      <c r="N24" s="157"/>
      <c r="O24" s="157"/>
      <c r="P24" s="157"/>
      <c r="Q24" s="157"/>
      <c r="R24" s="157"/>
      <c r="S24" s="157"/>
      <c r="T24" s="157"/>
      <c r="U24" s="157"/>
      <c r="V24" s="157"/>
      <c r="W24" s="157"/>
      <c r="X24" s="157"/>
      <c r="Y24" s="157"/>
      <c r="Z24" s="157"/>
      <c r="AA24" s="157"/>
      <c r="AB24" s="157"/>
      <c r="AC24" s="157"/>
      <c r="AD24" s="157"/>
      <c r="AE24" s="157"/>
      <c r="AF24" s="157"/>
      <c r="AG24" s="157"/>
      <c r="AH24" s="157"/>
      <c r="AI24" s="157"/>
      <c r="AJ24" s="157"/>
    </row>
    <row r="25" spans="1:36" ht="21" hidden="1" customHeight="1" thickBot="1">
      <c r="A25" s="36" t="s">
        <v>5</v>
      </c>
      <c r="K25" s="158"/>
      <c r="L25" s="158"/>
      <c r="M25" s="158"/>
      <c r="N25" s="158"/>
      <c r="O25" s="158"/>
      <c r="P25" s="158"/>
      <c r="Q25" s="158"/>
      <c r="R25" s="158"/>
      <c r="S25" s="158"/>
      <c r="T25" s="158"/>
      <c r="U25" s="158"/>
      <c r="V25" s="158"/>
      <c r="W25" s="158"/>
      <c r="X25" s="158"/>
      <c r="Y25" s="158"/>
      <c r="Z25" s="158"/>
      <c r="AA25" s="158"/>
      <c r="AB25" s="158"/>
      <c r="AC25" s="158"/>
      <c r="AD25" s="158"/>
      <c r="AE25" s="158"/>
      <c r="AF25" s="158"/>
      <c r="AG25" s="158"/>
      <c r="AH25" s="158"/>
      <c r="AI25" s="158"/>
      <c r="AJ25" s="158"/>
    </row>
    <row r="26" spans="1:36" ht="54.6" hidden="1" customHeight="1">
      <c r="A26" s="171" t="s">
        <v>166</v>
      </c>
      <c r="B26" s="172"/>
      <c r="C26" s="172"/>
      <c r="D26" s="172"/>
      <c r="E26" s="172"/>
      <c r="F26" s="172"/>
      <c r="G26" s="172"/>
      <c r="H26" s="172"/>
      <c r="I26" s="172"/>
      <c r="J26" s="172"/>
      <c r="K26" s="173"/>
      <c r="L26" s="173"/>
      <c r="M26" s="173"/>
      <c r="N26" s="173"/>
      <c r="O26" s="173"/>
      <c r="P26" s="173"/>
      <c r="Q26" s="173"/>
      <c r="R26" s="173"/>
      <c r="S26" s="173"/>
      <c r="T26" s="173"/>
      <c r="U26" s="173"/>
      <c r="V26" s="173"/>
      <c r="W26" s="173"/>
      <c r="X26" s="173"/>
      <c r="Y26" s="173"/>
      <c r="Z26" s="173"/>
      <c r="AA26" s="173"/>
      <c r="AB26" s="173"/>
      <c r="AC26" s="174" t="s">
        <v>124</v>
      </c>
      <c r="AD26" s="174"/>
      <c r="AE26" s="174"/>
      <c r="AF26" s="174"/>
      <c r="AG26" s="174"/>
      <c r="AH26" s="174"/>
      <c r="AI26" s="174"/>
      <c r="AJ26" s="175"/>
    </row>
    <row r="27" spans="1:36" ht="54.6" hidden="1" customHeight="1" thickBot="1">
      <c r="A27" s="191" t="s">
        <v>163</v>
      </c>
      <c r="B27" s="192"/>
      <c r="C27" s="192"/>
      <c r="D27" s="192"/>
      <c r="E27" s="192"/>
      <c r="F27" s="192"/>
      <c r="G27" s="192"/>
      <c r="H27" s="192"/>
      <c r="I27" s="192"/>
      <c r="J27" s="192"/>
      <c r="K27" s="190"/>
      <c r="L27" s="190"/>
      <c r="M27" s="190"/>
      <c r="N27" s="190"/>
      <c r="O27" s="190"/>
      <c r="P27" s="190"/>
      <c r="Q27" s="190"/>
      <c r="R27" s="190"/>
      <c r="S27" s="190"/>
      <c r="T27" s="190"/>
      <c r="U27" s="190"/>
      <c r="V27" s="190"/>
      <c r="W27" s="190"/>
      <c r="X27" s="190"/>
      <c r="Y27" s="190"/>
      <c r="Z27" s="190"/>
      <c r="AA27" s="190"/>
      <c r="AB27" s="190"/>
      <c r="AC27" s="188" t="s">
        <v>7</v>
      </c>
      <c r="AD27" s="188"/>
      <c r="AE27" s="188"/>
      <c r="AF27" s="188"/>
      <c r="AG27" s="188"/>
      <c r="AH27" s="188"/>
      <c r="AI27" s="188"/>
      <c r="AJ27" s="189"/>
    </row>
    <row r="28" spans="1:36">
      <c r="A28" s="38"/>
      <c r="B28" s="38"/>
      <c r="C28" s="38"/>
      <c r="D28" s="38"/>
      <c r="E28" s="39"/>
      <c r="F28" s="39"/>
      <c r="G28" s="39"/>
      <c r="H28" s="39"/>
      <c r="I28" s="39"/>
      <c r="J28" s="39"/>
      <c r="K28" s="39"/>
      <c r="L28" s="39"/>
      <c r="M28" s="39"/>
      <c r="N28" s="39"/>
      <c r="O28" s="39"/>
      <c r="P28" s="39"/>
      <c r="Q28" s="39"/>
      <c r="R28" s="39"/>
      <c r="S28" s="39"/>
      <c r="T28" s="39"/>
      <c r="U28" s="39"/>
      <c r="V28" s="39"/>
      <c r="W28" s="39"/>
      <c r="X28" s="39"/>
      <c r="Y28" s="39"/>
      <c r="Z28" s="39"/>
      <c r="AA28" s="39"/>
      <c r="AB28" s="39"/>
      <c r="AC28" s="40"/>
      <c r="AD28" s="40"/>
      <c r="AE28" s="40"/>
      <c r="AF28" s="40"/>
      <c r="AG28" s="40"/>
      <c r="AH28" s="40"/>
      <c r="AI28" s="40"/>
      <c r="AJ28" s="40"/>
    </row>
    <row r="29" spans="1:36" ht="15" customHeight="1"/>
    <row r="30" spans="1:36" ht="97.15" customHeight="1"/>
    <row r="31" spans="1:36" ht="28.9" customHeight="1">
      <c r="G31" s="41"/>
    </row>
    <row r="32" spans="1:36" ht="28.9" customHeight="1">
      <c r="G32" s="41"/>
    </row>
    <row r="33" spans="1:28" ht="28.9" customHeight="1">
      <c r="G33" s="41"/>
    </row>
    <row r="34" spans="1:28">
      <c r="A34" s="41"/>
    </row>
    <row r="35" spans="1:28">
      <c r="A35" s="41"/>
    </row>
    <row r="36" spans="1:28">
      <c r="A36" s="41"/>
    </row>
    <row r="38" spans="1:28">
      <c r="A38" s="30" t="s">
        <v>8</v>
      </c>
    </row>
    <row r="39" spans="1:28" ht="13.15" customHeight="1">
      <c r="A39" s="255" t="s">
        <v>9</v>
      </c>
      <c r="B39" s="255"/>
      <c r="C39" s="42"/>
      <c r="D39" s="43"/>
      <c r="E39" s="176" t="s">
        <v>10</v>
      </c>
      <c r="F39" s="177"/>
      <c r="G39" s="177"/>
      <c r="H39" s="177"/>
      <c r="I39" s="177"/>
      <c r="J39" s="177"/>
      <c r="K39" s="177"/>
      <c r="L39" s="178"/>
      <c r="M39" s="249"/>
      <c r="N39" s="250"/>
      <c r="O39" s="250"/>
      <c r="P39" s="250"/>
      <c r="Q39" s="250"/>
      <c r="R39" s="250"/>
      <c r="S39" s="250"/>
      <c r="T39" s="250"/>
      <c r="U39" s="250"/>
      <c r="V39" s="250"/>
      <c r="W39" s="250"/>
      <c r="X39" s="250"/>
      <c r="Y39" s="250"/>
      <c r="Z39" s="250"/>
      <c r="AA39" s="250"/>
      <c r="AB39" s="251"/>
    </row>
    <row r="40" spans="1:28" ht="13.15" customHeight="1">
      <c r="A40" s="256"/>
      <c r="B40" s="256"/>
      <c r="C40" s="36"/>
      <c r="D40" s="44"/>
      <c r="E40" s="179"/>
      <c r="F40" s="180"/>
      <c r="G40" s="180"/>
      <c r="H40" s="180"/>
      <c r="I40" s="180"/>
      <c r="J40" s="180"/>
      <c r="K40" s="180"/>
      <c r="L40" s="181"/>
      <c r="M40" s="252"/>
      <c r="N40" s="253"/>
      <c r="O40" s="253"/>
      <c r="P40" s="253"/>
      <c r="Q40" s="253"/>
      <c r="R40" s="253"/>
      <c r="S40" s="253"/>
      <c r="T40" s="253"/>
      <c r="U40" s="253"/>
      <c r="V40" s="253"/>
      <c r="W40" s="253"/>
      <c r="X40" s="253"/>
      <c r="Y40" s="253"/>
      <c r="Z40" s="253"/>
      <c r="AA40" s="253"/>
      <c r="AB40" s="254"/>
    </row>
    <row r="41" spans="1:28" ht="13.5" customHeight="1">
      <c r="A41" s="256"/>
      <c r="B41" s="256"/>
      <c r="C41" s="36"/>
      <c r="D41" s="44"/>
      <c r="E41" s="176" t="s">
        <v>11</v>
      </c>
      <c r="F41" s="177"/>
      <c r="G41" s="177"/>
      <c r="H41" s="177"/>
      <c r="I41" s="177"/>
      <c r="J41" s="177"/>
      <c r="K41" s="177"/>
      <c r="L41" s="178"/>
      <c r="M41" s="182"/>
      <c r="N41" s="183"/>
      <c r="O41" s="183"/>
      <c r="P41" s="183"/>
      <c r="Q41" s="183"/>
      <c r="R41" s="183"/>
      <c r="S41" s="183"/>
      <c r="T41" s="183"/>
      <c r="U41" s="183"/>
      <c r="V41" s="183"/>
      <c r="W41" s="183"/>
      <c r="X41" s="183"/>
      <c r="Y41" s="183"/>
      <c r="Z41" s="183"/>
      <c r="AA41" s="183"/>
      <c r="AB41" s="184"/>
    </row>
    <row r="42" spans="1:28" ht="13.15" customHeight="1">
      <c r="A42" s="256"/>
      <c r="B42" s="256"/>
      <c r="C42" s="36"/>
      <c r="D42" s="44"/>
      <c r="E42" s="179"/>
      <c r="F42" s="180"/>
      <c r="G42" s="180"/>
      <c r="H42" s="180"/>
      <c r="I42" s="180"/>
      <c r="J42" s="180"/>
      <c r="K42" s="180"/>
      <c r="L42" s="181"/>
      <c r="M42" s="185"/>
      <c r="N42" s="186"/>
      <c r="O42" s="186"/>
      <c r="P42" s="186"/>
      <c r="Q42" s="186"/>
      <c r="R42" s="186"/>
      <c r="S42" s="186"/>
      <c r="T42" s="186"/>
      <c r="U42" s="186"/>
      <c r="V42" s="186"/>
      <c r="W42" s="186"/>
      <c r="X42" s="186"/>
      <c r="Y42" s="186"/>
      <c r="Z42" s="186"/>
      <c r="AA42" s="186"/>
      <c r="AB42" s="187"/>
    </row>
    <row r="43" spans="1:28" ht="13.15" customHeight="1">
      <c r="A43" s="256"/>
      <c r="B43" s="256"/>
      <c r="C43" s="234" t="s">
        <v>12</v>
      </c>
      <c r="D43" s="235"/>
      <c r="E43" s="176" t="s">
        <v>13</v>
      </c>
      <c r="F43" s="177"/>
      <c r="G43" s="177"/>
      <c r="H43" s="177"/>
      <c r="I43" s="177"/>
      <c r="J43" s="177"/>
      <c r="K43" s="177"/>
      <c r="L43" s="178"/>
      <c r="M43" s="182"/>
      <c r="N43" s="183"/>
      <c r="O43" s="183"/>
      <c r="P43" s="183"/>
      <c r="Q43" s="183"/>
      <c r="R43" s="183"/>
      <c r="S43" s="183"/>
      <c r="T43" s="183"/>
      <c r="U43" s="183"/>
      <c r="V43" s="183"/>
      <c r="W43" s="183"/>
      <c r="X43" s="183"/>
      <c r="Y43" s="183"/>
      <c r="Z43" s="183"/>
      <c r="AA43" s="183"/>
      <c r="AB43" s="184"/>
    </row>
    <row r="44" spans="1:28" ht="13.15" customHeight="1">
      <c r="A44" s="256"/>
      <c r="B44" s="256"/>
      <c r="C44" s="236"/>
      <c r="D44" s="237"/>
      <c r="E44" s="179"/>
      <c r="F44" s="180"/>
      <c r="G44" s="180"/>
      <c r="H44" s="180"/>
      <c r="I44" s="180"/>
      <c r="J44" s="180"/>
      <c r="K44" s="180"/>
      <c r="L44" s="181"/>
      <c r="M44" s="185"/>
      <c r="N44" s="186"/>
      <c r="O44" s="186"/>
      <c r="P44" s="186"/>
      <c r="Q44" s="186"/>
      <c r="R44" s="186"/>
      <c r="S44" s="186"/>
      <c r="T44" s="186"/>
      <c r="U44" s="186"/>
      <c r="V44" s="186"/>
      <c r="W44" s="186"/>
      <c r="X44" s="186"/>
      <c r="Y44" s="186"/>
      <c r="Z44" s="186"/>
      <c r="AA44" s="186"/>
      <c r="AB44" s="187"/>
    </row>
    <row r="45" spans="1:28" ht="13.15" customHeight="1">
      <c r="A45" s="256"/>
      <c r="B45" s="256"/>
      <c r="C45" s="236"/>
      <c r="D45" s="237"/>
      <c r="E45" s="176" t="s">
        <v>14</v>
      </c>
      <c r="F45" s="177"/>
      <c r="G45" s="177"/>
      <c r="H45" s="177"/>
      <c r="I45" s="177"/>
      <c r="J45" s="177"/>
      <c r="K45" s="177"/>
      <c r="L45" s="178"/>
      <c r="M45" s="182"/>
      <c r="N45" s="183"/>
      <c r="O45" s="183"/>
      <c r="P45" s="183"/>
      <c r="Q45" s="183"/>
      <c r="R45" s="183"/>
      <c r="S45" s="183"/>
      <c r="T45" s="183"/>
      <c r="U45" s="183"/>
      <c r="V45" s="183"/>
      <c r="W45" s="183"/>
      <c r="X45" s="183"/>
      <c r="Y45" s="183"/>
      <c r="Z45" s="183"/>
      <c r="AA45" s="183"/>
      <c r="AB45" s="184"/>
    </row>
    <row r="46" spans="1:28" ht="13.15" customHeight="1">
      <c r="A46" s="256"/>
      <c r="B46" s="256"/>
      <c r="C46" s="236"/>
      <c r="D46" s="237"/>
      <c r="E46" s="179"/>
      <c r="F46" s="180"/>
      <c r="G46" s="180"/>
      <c r="H46" s="180"/>
      <c r="I46" s="180"/>
      <c r="J46" s="180"/>
      <c r="K46" s="180"/>
      <c r="L46" s="181"/>
      <c r="M46" s="185"/>
      <c r="N46" s="186"/>
      <c r="O46" s="186"/>
      <c r="P46" s="186"/>
      <c r="Q46" s="186"/>
      <c r="R46" s="186"/>
      <c r="S46" s="186"/>
      <c r="T46" s="186"/>
      <c r="U46" s="186"/>
      <c r="V46" s="186"/>
      <c r="W46" s="186"/>
      <c r="X46" s="186"/>
      <c r="Y46" s="186"/>
      <c r="Z46" s="186"/>
      <c r="AA46" s="186"/>
      <c r="AB46" s="187"/>
    </row>
    <row r="47" spans="1:28" ht="13.15" customHeight="1">
      <c r="A47" s="256"/>
      <c r="B47" s="256"/>
      <c r="C47" s="236"/>
      <c r="D47" s="237"/>
      <c r="E47" s="176" t="s">
        <v>15</v>
      </c>
      <c r="F47" s="177"/>
      <c r="G47" s="177"/>
      <c r="H47" s="177"/>
      <c r="I47" s="177"/>
      <c r="J47" s="177"/>
      <c r="K47" s="177"/>
      <c r="L47" s="178"/>
      <c r="M47" s="182"/>
      <c r="N47" s="183"/>
      <c r="O47" s="183"/>
      <c r="P47" s="183"/>
      <c r="Q47" s="183"/>
      <c r="R47" s="183"/>
      <c r="S47" s="183"/>
      <c r="T47" s="183"/>
      <c r="U47" s="183"/>
      <c r="V47" s="183"/>
      <c r="W47" s="183"/>
      <c r="X47" s="183"/>
      <c r="Y47" s="183"/>
      <c r="Z47" s="183"/>
      <c r="AA47" s="183"/>
      <c r="AB47" s="184"/>
    </row>
    <row r="48" spans="1:28" ht="13.15" customHeight="1">
      <c r="A48" s="256"/>
      <c r="B48" s="256"/>
      <c r="C48" s="236"/>
      <c r="D48" s="237"/>
      <c r="E48" s="179"/>
      <c r="F48" s="180"/>
      <c r="G48" s="180"/>
      <c r="H48" s="180"/>
      <c r="I48" s="180"/>
      <c r="J48" s="180"/>
      <c r="K48" s="180"/>
      <c r="L48" s="181"/>
      <c r="M48" s="185"/>
      <c r="N48" s="186"/>
      <c r="O48" s="186"/>
      <c r="P48" s="186"/>
      <c r="Q48" s="186"/>
      <c r="R48" s="186"/>
      <c r="S48" s="186"/>
      <c r="T48" s="186"/>
      <c r="U48" s="186"/>
      <c r="V48" s="186"/>
      <c r="W48" s="186"/>
      <c r="X48" s="186"/>
      <c r="Y48" s="186"/>
      <c r="Z48" s="186"/>
      <c r="AA48" s="186"/>
      <c r="AB48" s="187"/>
    </row>
    <row r="49" spans="1:28" ht="13.15" customHeight="1">
      <c r="A49" s="256"/>
      <c r="B49" s="256"/>
      <c r="C49" s="236"/>
      <c r="D49" s="237"/>
      <c r="E49" s="176" t="s">
        <v>16</v>
      </c>
      <c r="F49" s="177"/>
      <c r="G49" s="177"/>
      <c r="H49" s="177"/>
      <c r="I49" s="177"/>
      <c r="J49" s="177"/>
      <c r="K49" s="177"/>
      <c r="L49" s="178"/>
      <c r="M49" s="233"/>
      <c r="N49" s="183"/>
      <c r="O49" s="183"/>
      <c r="P49" s="183"/>
      <c r="Q49" s="183"/>
      <c r="R49" s="183"/>
      <c r="S49" s="183"/>
      <c r="T49" s="183"/>
      <c r="U49" s="183"/>
      <c r="V49" s="183"/>
      <c r="W49" s="183"/>
      <c r="X49" s="183"/>
      <c r="Y49" s="183"/>
      <c r="Z49" s="183"/>
      <c r="AA49" s="183"/>
      <c r="AB49" s="184"/>
    </row>
    <row r="50" spans="1:28" ht="13.15" customHeight="1">
      <c r="A50" s="257"/>
      <c r="B50" s="257"/>
      <c r="C50" s="238"/>
      <c r="D50" s="239"/>
      <c r="E50" s="179"/>
      <c r="F50" s="180"/>
      <c r="G50" s="180"/>
      <c r="H50" s="180"/>
      <c r="I50" s="180"/>
      <c r="J50" s="180"/>
      <c r="K50" s="180"/>
      <c r="L50" s="181"/>
      <c r="M50" s="185"/>
      <c r="N50" s="186"/>
      <c r="O50" s="186"/>
      <c r="P50" s="186"/>
      <c r="Q50" s="186"/>
      <c r="R50" s="186"/>
      <c r="S50" s="186"/>
      <c r="T50" s="186"/>
      <c r="U50" s="186"/>
      <c r="V50" s="186"/>
      <c r="W50" s="186"/>
      <c r="X50" s="186"/>
      <c r="Y50" s="186"/>
      <c r="Z50" s="186"/>
      <c r="AA50" s="186"/>
      <c r="AB50" s="187"/>
    </row>
  </sheetData>
  <sheetProtection algorithmName="SHA-512" hashValue="L9N09sM1oRY/pd5eC7X3JxQzyGNOb2A6gJ0VPzjkyARSYaLBgaBJ16e6EVFBJ5SbvMdK7ZN2I7Lgf0pfcob8qg==" saltValue="qaHGquBku6kvaOqpi3M6xg==" spinCount="100000" sheet="1" selectLockedCells="1"/>
  <mergeCells count="55">
    <mergeCell ref="E49:L50"/>
    <mergeCell ref="AF5:AG5"/>
    <mergeCell ref="AF15:AJ15"/>
    <mergeCell ref="M49:AB50"/>
    <mergeCell ref="C43:D50"/>
    <mergeCell ref="A19:D23"/>
    <mergeCell ref="E41:L42"/>
    <mergeCell ref="E19:J19"/>
    <mergeCell ref="M41:AB42"/>
    <mergeCell ref="E39:L40"/>
    <mergeCell ref="M39:AB40"/>
    <mergeCell ref="A39:B50"/>
    <mergeCell ref="E43:L44"/>
    <mergeCell ref="M43:AB44"/>
    <mergeCell ref="E45:L46"/>
    <mergeCell ref="M45:AB46"/>
    <mergeCell ref="AF10:AJ10"/>
    <mergeCell ref="AF13:AJ14"/>
    <mergeCell ref="K10:AE10"/>
    <mergeCell ref="K11:AE11"/>
    <mergeCell ref="K13:AE13"/>
    <mergeCell ref="K14:AE14"/>
    <mergeCell ref="K12:AE12"/>
    <mergeCell ref="AF11:AJ12"/>
    <mergeCell ref="A1:AE2"/>
    <mergeCell ref="A13:D14"/>
    <mergeCell ref="A6:AD6"/>
    <mergeCell ref="A10:J10"/>
    <mergeCell ref="A11:I11"/>
    <mergeCell ref="A12:I12"/>
    <mergeCell ref="A26:J26"/>
    <mergeCell ref="K26:AB26"/>
    <mergeCell ref="AC26:AJ26"/>
    <mergeCell ref="E47:L48"/>
    <mergeCell ref="M47:AB48"/>
    <mergeCell ref="AC27:AJ27"/>
    <mergeCell ref="K27:AB27"/>
    <mergeCell ref="A27:J27"/>
    <mergeCell ref="K24:AJ25"/>
    <mergeCell ref="K20:AJ20"/>
    <mergeCell ref="K21:AJ21"/>
    <mergeCell ref="K22:AJ22"/>
    <mergeCell ref="K23:AJ23"/>
    <mergeCell ref="AF19:AJ19"/>
    <mergeCell ref="K19:AE19"/>
    <mergeCell ref="A17:D18"/>
    <mergeCell ref="K15:AE15"/>
    <mergeCell ref="AF18:AJ18"/>
    <mergeCell ref="AF16:AJ16"/>
    <mergeCell ref="AF17:AJ17"/>
    <mergeCell ref="K17:AE17"/>
    <mergeCell ref="K18:AE18"/>
    <mergeCell ref="E17:J17"/>
    <mergeCell ref="E18:J18"/>
    <mergeCell ref="A15:I15"/>
  </mergeCells>
  <phoneticPr fontId="1"/>
  <dataValidations count="16">
    <dataValidation type="custom" imeMode="fullKatakana" allowBlank="1" showInputMessage="1" showErrorMessage="1" error="全角カタカナ40文字以内で記入してください" sqref="K22:AJ22" xr:uid="{DDA2F29B-5FAB-4156-B004-3504D85C0F0C}">
      <formula1>AND(PHONETIC(K22)=K22,LENB(K22)&lt;=80)</formula1>
    </dataValidation>
    <dataValidation type="date" imeMode="disabled" operator="greaterThanOrEqual" allowBlank="1" showInputMessage="1" showErrorMessage="1" errorTitle="年月日を入れてください" error="2023/10/25 の形で入力ください" sqref="K10:AE10" xr:uid="{017EF660-ACA5-470E-AC5C-42C83E42D5F1}">
      <formula1>44927</formula1>
    </dataValidation>
    <dataValidation type="custom" imeMode="off" allowBlank="1" showInputMessage="1" showErrorMessage="1" error=" 郵便番号を記載ください。ハイフン不要です。" sqref="J15" xr:uid="{328B9EFF-F971-4938-A601-2CBE6A155A21}">
      <formula1>OR((LEN(J15)=7),(LEN(J15)=8))</formula1>
    </dataValidation>
    <dataValidation imeMode="hiragana" allowBlank="1" showInputMessage="1" showErrorMessage="1" sqref="M41:AB48" xr:uid="{8F988FFE-F928-4216-B044-7F31FF29330F}"/>
    <dataValidation imeMode="halfAlpha" allowBlank="1" showInputMessage="1" showErrorMessage="1" sqref="M49:AB50" xr:uid="{5B1D9BCE-FF09-406D-A1B1-2BCCC256E4EC}"/>
    <dataValidation type="custom" imeMode="disabled" allowBlank="1" showInputMessage="1" showErrorMessage="1" error=" 郵便番号を記載ください。ハイフン不要です。" sqref="K15:AE15" xr:uid="{C1F69CDB-661C-4177-90D4-8101D671197D}">
      <formula1>AND((LEN(K15)=7),(ISNUMBER(VALUE(K15))))</formula1>
    </dataValidation>
    <dataValidation type="custom" imeMode="disabled" allowBlank="1" showInputMessage="1" showErrorMessage="1" errorTitle="電話番号を記載ください" error="ハイフンは不要です。数字のみ記入ください" sqref="K19:AE19" xr:uid="{58988821-E52B-4D0E-A084-B847CB8DB1CD}">
      <formula1>AND((OR((LEN(K19)=10),(LEN(K19)=11))),(ISNUMBER(VALUE(K19))))</formula1>
    </dataValidation>
    <dataValidation type="list" showInputMessage="1" showErrorMessage="1" errorTitle="必須" error="csvか固定長のどちらかを選択してください（エクセル利用の場合はcsv）" sqref="K26:AB26" xr:uid="{62AEB929-9B8E-40E5-82E9-5D7CD21F64C0}">
      <formula1>"変更しない,スタンダード,ダウンロード"</formula1>
    </dataValidation>
    <dataValidation type="list" allowBlank="1" showInputMessage="1" showErrorMessage="1" errorTitle="必須" error="csvか固定長のどちらかを選択してください（エクセル利用の場合はcsv）" sqref="K27:AB27" xr:uid="{44672EF7-9828-4A12-B9DE-BE7B876AD8A4}">
      <formula1>"csv,固定長"</formula1>
    </dataValidation>
    <dataValidation type="custom" imeMode="fullKatakana" allowBlank="1" showInputMessage="1" showErrorMessage="1" error="全角カタカナ80文字以内で記入ください" sqref="K20:AJ20 K13:AE13" xr:uid="{4EA5987A-A48A-417B-983A-F2EE36756421}">
      <formula1>AND(PHONETIC(K13)=K13,LENB(K13)&lt;=160)</formula1>
    </dataValidation>
    <dataValidation type="custom" imeMode="hiragana" allowBlank="1" showInputMessage="1" showErrorMessage="1" error="40文字以内で記入ください" sqref="K18:AE18 K14" xr:uid="{A9AD9F5A-4EC0-4073-B62B-781964AF352A}">
      <formula1>LENB(K14)&lt;=80</formula1>
    </dataValidation>
    <dataValidation type="custom" imeMode="hiragana" allowBlank="1" showInputMessage="1" showErrorMessage="1" error="128文字以内で記入ください" sqref="K17:AE17" xr:uid="{66FB1BBE-2FD7-48F8-A14E-837E4D06537B}">
      <formula1>LENB(K17)&lt;=256</formula1>
    </dataValidation>
    <dataValidation type="custom" imeMode="hiragana" allowBlank="1" showInputMessage="1" showErrorMessage="1" error="50文字以内で記入ください" sqref="K21:AJ21" xr:uid="{7426D532-647E-4D59-BC89-54349B6598DE}">
      <formula1>LENB(K21)&lt;=100</formula1>
    </dataValidation>
    <dataValidation type="custom" imeMode="hiragana" allowBlank="1" showInputMessage="1" showErrorMessage="1" error="20文字以内で記入ください" sqref="K23:AJ23" xr:uid="{2E492208-3597-4A54-B65E-11766956B244}">
      <formula1>LENB(K23)&lt;=40</formula1>
    </dataValidation>
    <dataValidation type="custom" imeMode="disabled" allowBlank="1" showInputMessage="1" showErrorMessage="1" errorTitle="7桁の数字（半角）" error="BSの後ろの7桁の数字（半角）をご記入ください" sqref="K11:AE11" xr:uid="{B7A17635-2F7D-4151-8D28-73877D64299D}">
      <formula1>AND((LEN(K11)=7),(ISNUMBER(VALUE(K11))))</formula1>
    </dataValidation>
    <dataValidation type="custom" imeMode="disabled" allowBlank="1" showInputMessage="1" showErrorMessage="1" errorTitle="7桁の数字（半角）" error="BSの後ろの7桁の数字（半角）を記入ください_x000a_「現在のBSお客様番号」と「付替先BSお客様番号」は異なる番号を記入ください" sqref="K12:AE12" xr:uid="{558786FE-FF1E-451A-88BE-5D06B1A07AA3}">
      <formula1>AND((LEN(K12)=7),(ISNUMBER(VALUE(K12))),(K11&lt;&gt;K12))</formula1>
    </dataValidation>
  </dataValidations>
  <printOptions horizontalCentered="1"/>
  <pageMargins left="0.19685039370078741" right="0.15748031496062992" top="0.27559055118110237" bottom="0.35433070866141736" header="0.15748031496062992" footer="0.15748031496062992"/>
  <pageSetup paperSize="9" scale="62" orientation="portrait" r:id="rId1"/>
  <headerFooter alignWithMargins="0">
    <oddFooter>&amp;L&amp;6※ご記入いただきましたお客様の個人情報につきましては、弊社プライバシーポリシーに従い(https://www.ntt.com/about-us/hp/privacy.html)適正に取扱い致します。
&amp;R2022.07</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4663F2-AFFF-4BF5-BDE9-256B650AF09C}">
  <sheetPr>
    <tabColor rgb="FFFFFF00"/>
  </sheetPr>
  <dimension ref="A1:S262"/>
  <sheetViews>
    <sheetView zoomScale="80" zoomScaleNormal="80" workbookViewId="0">
      <selection activeCell="E13" sqref="E13"/>
    </sheetView>
  </sheetViews>
  <sheetFormatPr defaultColWidth="11" defaultRowHeight="16.5"/>
  <cols>
    <col min="1" max="1" width="6.25" style="12" customWidth="1"/>
    <col min="2" max="2" width="9.125" style="12" bestFit="1" customWidth="1"/>
    <col min="3" max="3" width="9.125" style="12" hidden="1" customWidth="1"/>
    <col min="4" max="4" width="9.5" style="12" hidden="1" customWidth="1"/>
    <col min="5" max="5" width="23.5" style="12" customWidth="1"/>
    <col min="6" max="6" width="24.5" style="90" customWidth="1"/>
    <col min="7" max="7" width="22.5" style="12" hidden="1" customWidth="1"/>
    <col min="8" max="8" width="19.5" style="12" hidden="1" customWidth="1"/>
    <col min="9" max="9" width="15" style="12" hidden="1" customWidth="1"/>
    <col min="10" max="10" width="22.75" style="12" hidden="1" customWidth="1"/>
    <col min="11" max="11" width="10.5" style="12" hidden="1" customWidth="1"/>
    <col min="12" max="12" width="19.5" style="12" hidden="1" customWidth="1"/>
    <col min="13" max="13" width="11" style="12" hidden="1" customWidth="1"/>
    <col min="14" max="16384" width="11" style="12"/>
  </cols>
  <sheetData>
    <row r="1" spans="1:19" ht="24.75">
      <c r="A1" s="11" t="s">
        <v>82</v>
      </c>
    </row>
    <row r="2" spans="1:19" ht="70.900000000000006" customHeight="1">
      <c r="A2" s="80"/>
      <c r="B2" s="80"/>
      <c r="E2" s="264" t="s">
        <v>152</v>
      </c>
      <c r="F2" s="264"/>
      <c r="G2" s="264"/>
      <c r="H2" s="264"/>
      <c r="I2" s="264"/>
      <c r="J2" s="264"/>
      <c r="K2" s="264"/>
      <c r="L2" s="264"/>
      <c r="M2" s="264"/>
      <c r="N2" s="264"/>
      <c r="O2" s="264"/>
      <c r="P2" s="264"/>
      <c r="Q2" s="264"/>
      <c r="R2" s="264"/>
      <c r="S2" s="264"/>
    </row>
    <row r="3" spans="1:19" ht="21" customHeight="1">
      <c r="A3" s="11"/>
      <c r="E3" s="13" t="s">
        <v>186</v>
      </c>
    </row>
    <row r="4" spans="1:19" ht="24.75">
      <c r="A4" s="11"/>
      <c r="E4" s="265" t="s">
        <v>191</v>
      </c>
      <c r="F4" s="265"/>
      <c r="G4" s="265"/>
      <c r="H4" s="265"/>
      <c r="I4" s="265"/>
      <c r="J4" s="265"/>
      <c r="K4" s="265"/>
      <c r="L4" s="265"/>
      <c r="M4" s="265"/>
      <c r="N4" s="265"/>
      <c r="O4" s="265"/>
      <c r="P4" s="265"/>
      <c r="Q4" s="265"/>
      <c r="R4" s="265"/>
      <c r="S4" s="265"/>
    </row>
    <row r="5" spans="1:19" ht="21" customHeight="1">
      <c r="A5" s="11"/>
      <c r="E5" s="13" t="s">
        <v>99</v>
      </c>
    </row>
    <row r="6" spans="1:19" ht="57" customHeight="1">
      <c r="A6" s="11"/>
      <c r="C6" s="13"/>
      <c r="E6" s="266" t="s">
        <v>212</v>
      </c>
      <c r="F6" s="266"/>
      <c r="G6" s="266"/>
      <c r="H6" s="266"/>
      <c r="I6" s="266"/>
      <c r="J6" s="266"/>
      <c r="K6" s="266"/>
      <c r="L6" s="266"/>
      <c r="M6" s="266"/>
      <c r="N6" s="266"/>
      <c r="O6" s="266"/>
      <c r="P6" s="266"/>
      <c r="Q6" s="266"/>
      <c r="R6" s="266"/>
      <c r="S6" s="266"/>
    </row>
    <row r="7" spans="1:19" ht="17.25" thickBot="1">
      <c r="B7" s="126"/>
      <c r="C7" s="126"/>
      <c r="D7" s="126"/>
      <c r="E7" s="126"/>
      <c r="F7" s="126"/>
      <c r="G7" s="126"/>
      <c r="H7" s="126"/>
      <c r="I7" s="126"/>
      <c r="J7" s="126"/>
      <c r="K7" s="126"/>
      <c r="L7" s="126"/>
      <c r="M7" s="12" t="s">
        <v>83</v>
      </c>
    </row>
    <row r="8" spans="1:19" ht="155.44999999999999" customHeight="1">
      <c r="B8" s="14" t="s">
        <v>84</v>
      </c>
      <c r="C8" s="28" t="s">
        <v>95</v>
      </c>
      <c r="D8" s="14" t="s">
        <v>142</v>
      </c>
      <c r="E8" s="16" t="s">
        <v>144</v>
      </c>
      <c r="F8" s="81"/>
      <c r="G8" s="15" t="s">
        <v>145</v>
      </c>
      <c r="H8" s="260" t="s">
        <v>150</v>
      </c>
      <c r="I8" s="261"/>
      <c r="J8" s="16" t="s">
        <v>147</v>
      </c>
      <c r="K8" s="258" t="s">
        <v>151</v>
      </c>
      <c r="L8" s="259"/>
    </row>
    <row r="9" spans="1:19" s="17" customFormat="1" ht="54" customHeight="1" thickBot="1">
      <c r="B9" s="18" t="s">
        <v>86</v>
      </c>
      <c r="C9" s="29" t="s">
        <v>96</v>
      </c>
      <c r="D9" s="19" t="s">
        <v>87</v>
      </c>
      <c r="E9" s="89" t="s">
        <v>141</v>
      </c>
      <c r="F9" s="88" t="s">
        <v>140</v>
      </c>
      <c r="G9" s="18"/>
      <c r="H9" s="262" t="s">
        <v>146</v>
      </c>
      <c r="I9" s="263"/>
      <c r="J9" s="20" t="s">
        <v>148</v>
      </c>
      <c r="K9" s="21" t="s">
        <v>139</v>
      </c>
      <c r="L9" s="22" t="s">
        <v>149</v>
      </c>
      <c r="M9" s="12" t="s">
        <v>108</v>
      </c>
      <c r="N9" s="12"/>
      <c r="O9" s="12"/>
    </row>
    <row r="10" spans="1:19" s="17" customFormat="1" ht="21.6" customHeight="1">
      <c r="B10" s="23" t="s">
        <v>88</v>
      </c>
      <c r="C10" s="51" t="s">
        <v>106</v>
      </c>
      <c r="D10" s="24">
        <v>1</v>
      </c>
      <c r="E10" s="82" t="s">
        <v>89</v>
      </c>
      <c r="F10" s="91"/>
      <c r="G10" s="49"/>
      <c r="H10" s="95" t="s">
        <v>105</v>
      </c>
      <c r="I10" s="96">
        <v>12345</v>
      </c>
      <c r="J10" s="97" t="s">
        <v>94</v>
      </c>
      <c r="K10" s="98"/>
      <c r="L10" s="99"/>
      <c r="M10" s="12"/>
      <c r="N10" s="12"/>
      <c r="O10" s="12"/>
    </row>
    <row r="11" spans="1:19" s="17" customFormat="1" ht="21.6" customHeight="1">
      <c r="B11" s="25" t="s">
        <v>90</v>
      </c>
      <c r="C11" s="51" t="s">
        <v>106</v>
      </c>
      <c r="D11" s="24">
        <v>2</v>
      </c>
      <c r="E11" s="83" t="s">
        <v>91</v>
      </c>
      <c r="F11" s="92"/>
      <c r="G11" s="50"/>
      <c r="H11" s="95"/>
      <c r="I11" s="96"/>
      <c r="J11" s="97"/>
      <c r="K11" s="98" t="s">
        <v>92</v>
      </c>
      <c r="L11" s="100"/>
      <c r="M11" s="12"/>
      <c r="N11" s="12"/>
      <c r="O11" s="12"/>
    </row>
    <row r="12" spans="1:19" s="17" customFormat="1" ht="21.6" customHeight="1">
      <c r="B12" s="25" t="s">
        <v>93</v>
      </c>
      <c r="C12" s="51" t="s">
        <v>106</v>
      </c>
      <c r="D12" s="24">
        <v>3</v>
      </c>
      <c r="E12" s="83" t="s">
        <v>104</v>
      </c>
      <c r="F12" s="92"/>
      <c r="G12" s="50"/>
      <c r="H12" s="95"/>
      <c r="I12" s="96"/>
      <c r="J12" s="97"/>
      <c r="K12" s="98"/>
      <c r="L12" s="101"/>
      <c r="M12" s="12"/>
      <c r="N12" s="12"/>
      <c r="O12" s="12"/>
    </row>
    <row r="13" spans="1:19" ht="22.5">
      <c r="B13" s="26">
        <v>1</v>
      </c>
      <c r="C13" s="45"/>
      <c r="D13" s="46" t="str">
        <f>IF(LEN(E13)=0,"",IF((AND(ISNUMBER(VALUE(E13)),LEN(E13)=12)),3,IF(AND(ISNUMBER(VALUE(E13)),(LEN(E13)=10)),1,IF(LEFT(E13)="R",IF(AND(ABS(LEN(E13)-11)=1,ISNUMBER(VALUE(RIGHT(E13,LEN(E13)-1)))),2,FALSE),FALSE))))</f>
        <v/>
      </c>
      <c r="E13" s="84"/>
      <c r="F13" s="124" t="str">
        <f t="shared" ref="F13:F24" si="0">IF(D13=FALSE,"←ご確認ください",IF(OR(D13=1,D13=2,D13=3),"形式OK",""))</f>
        <v/>
      </c>
      <c r="G13" s="52"/>
      <c r="H13" s="102"/>
      <c r="I13" s="102"/>
      <c r="J13" s="102"/>
      <c r="K13" s="103"/>
      <c r="L13" s="121"/>
      <c r="M13" s="12" t="b">
        <f>IF(COUNTA(E13,G13)=0,FALSE,TRUE)</f>
        <v>0</v>
      </c>
    </row>
    <row r="14" spans="1:19" ht="22.5">
      <c r="B14" s="26">
        <v>2</v>
      </c>
      <c r="C14" s="45"/>
      <c r="D14" s="46" t="str">
        <f t="shared" ref="D14:D77" si="1">IF(LEN(E14)=0,"",IF((AND(ISNUMBER(VALUE(E14)),LEN(E14)=12)),3,IF(AND(ISNUMBER(VALUE(E14)),(LEN(E14)=10)),1,IF(LEFT(E14)="R",IF(AND(ABS(LEN(E14)-11)=1,ISNUMBER(VALUE(RIGHT(E14,LEN(E14)-1)))),2,FALSE),FALSE))))</f>
        <v/>
      </c>
      <c r="E14" s="84"/>
      <c r="F14" s="124" t="str">
        <f t="shared" si="0"/>
        <v/>
      </c>
      <c r="G14" s="52"/>
      <c r="H14" s="102"/>
      <c r="I14" s="102"/>
      <c r="J14" s="102"/>
      <c r="K14" s="103"/>
      <c r="L14" s="122"/>
      <c r="M14" s="12" t="b">
        <f t="shared" ref="M14:M77" si="2">IF(COUNTA(E14,G14)=0,FALSE,TRUE)</f>
        <v>0</v>
      </c>
    </row>
    <row r="15" spans="1:19" ht="22.5">
      <c r="B15" s="26">
        <v>3</v>
      </c>
      <c r="C15" s="45"/>
      <c r="D15" s="46" t="str">
        <f t="shared" si="1"/>
        <v/>
      </c>
      <c r="E15" s="85"/>
      <c r="F15" s="124" t="str">
        <f t="shared" si="0"/>
        <v/>
      </c>
      <c r="G15" s="52"/>
      <c r="H15" s="102"/>
      <c r="I15" s="102"/>
      <c r="J15" s="102"/>
      <c r="K15" s="103"/>
      <c r="L15" s="122"/>
      <c r="M15" s="12" t="b">
        <f t="shared" si="2"/>
        <v>0</v>
      </c>
    </row>
    <row r="16" spans="1:19" ht="22.5">
      <c r="B16" s="26">
        <v>4</v>
      </c>
      <c r="C16" s="45"/>
      <c r="D16" s="46" t="str">
        <f t="shared" si="1"/>
        <v/>
      </c>
      <c r="E16" s="85"/>
      <c r="F16" s="124" t="str">
        <f t="shared" si="0"/>
        <v/>
      </c>
      <c r="G16" s="52"/>
      <c r="H16" s="102"/>
      <c r="I16" s="102"/>
      <c r="J16" s="102"/>
      <c r="K16" s="103"/>
      <c r="L16" s="122"/>
      <c r="M16" s="12" t="b">
        <f t="shared" si="2"/>
        <v>0</v>
      </c>
    </row>
    <row r="17" spans="2:13" ht="22.5">
      <c r="B17" s="26">
        <v>5</v>
      </c>
      <c r="C17" s="45"/>
      <c r="D17" s="46" t="str">
        <f t="shared" si="1"/>
        <v/>
      </c>
      <c r="E17" s="85"/>
      <c r="F17" s="124" t="str">
        <f t="shared" si="0"/>
        <v/>
      </c>
      <c r="G17" s="52"/>
      <c r="H17" s="102"/>
      <c r="I17" s="102"/>
      <c r="J17" s="102"/>
      <c r="K17" s="103"/>
      <c r="L17" s="122"/>
      <c r="M17" s="12" t="b">
        <f t="shared" si="2"/>
        <v>0</v>
      </c>
    </row>
    <row r="18" spans="2:13" ht="22.5">
      <c r="B18" s="26">
        <v>6</v>
      </c>
      <c r="C18" s="45"/>
      <c r="D18" s="46" t="str">
        <f t="shared" si="1"/>
        <v/>
      </c>
      <c r="E18" s="85"/>
      <c r="F18" s="124" t="str">
        <f t="shared" si="0"/>
        <v/>
      </c>
      <c r="G18" s="52"/>
      <c r="H18" s="102"/>
      <c r="I18" s="102"/>
      <c r="J18" s="102"/>
      <c r="K18" s="103"/>
      <c r="L18" s="122"/>
      <c r="M18" s="12" t="b">
        <f t="shared" si="2"/>
        <v>0</v>
      </c>
    </row>
    <row r="19" spans="2:13" ht="22.5">
      <c r="B19" s="26">
        <v>7</v>
      </c>
      <c r="C19" s="45"/>
      <c r="D19" s="46" t="str">
        <f t="shared" si="1"/>
        <v/>
      </c>
      <c r="E19" s="85"/>
      <c r="F19" s="124" t="str">
        <f t="shared" si="0"/>
        <v/>
      </c>
      <c r="G19" s="52"/>
      <c r="H19" s="102"/>
      <c r="I19" s="102"/>
      <c r="J19" s="102"/>
      <c r="K19" s="103"/>
      <c r="L19" s="122"/>
      <c r="M19" s="12" t="b">
        <f t="shared" si="2"/>
        <v>0</v>
      </c>
    </row>
    <row r="20" spans="2:13" ht="22.5">
      <c r="B20" s="26">
        <v>8</v>
      </c>
      <c r="C20" s="45"/>
      <c r="D20" s="46" t="str">
        <f t="shared" si="1"/>
        <v/>
      </c>
      <c r="E20" s="85"/>
      <c r="F20" s="124" t="str">
        <f t="shared" si="0"/>
        <v/>
      </c>
      <c r="G20" s="52"/>
      <c r="H20" s="102"/>
      <c r="I20" s="102"/>
      <c r="J20" s="102"/>
      <c r="K20" s="103"/>
      <c r="L20" s="122"/>
      <c r="M20" s="12" t="b">
        <f t="shared" ref="M20:M29" si="3">IF(COUNTA(E20,G20)=0,FALSE,TRUE)</f>
        <v>0</v>
      </c>
    </row>
    <row r="21" spans="2:13" ht="22.5">
      <c r="B21" s="26">
        <v>9</v>
      </c>
      <c r="C21" s="45"/>
      <c r="D21" s="46" t="str">
        <f t="shared" si="1"/>
        <v/>
      </c>
      <c r="E21" s="86"/>
      <c r="F21" s="124" t="str">
        <f t="shared" si="0"/>
        <v/>
      </c>
      <c r="G21" s="52"/>
      <c r="H21" s="102"/>
      <c r="I21" s="102"/>
      <c r="J21" s="102"/>
      <c r="K21" s="103"/>
      <c r="L21" s="122"/>
      <c r="M21" s="12" t="b">
        <f t="shared" si="3"/>
        <v>0</v>
      </c>
    </row>
    <row r="22" spans="2:13" ht="22.5">
      <c r="B22" s="26">
        <v>10</v>
      </c>
      <c r="C22" s="45"/>
      <c r="D22" s="46" t="str">
        <f t="shared" si="1"/>
        <v/>
      </c>
      <c r="E22" s="85"/>
      <c r="F22" s="124" t="str">
        <f t="shared" si="0"/>
        <v/>
      </c>
      <c r="G22" s="52"/>
      <c r="H22" s="102"/>
      <c r="I22" s="102"/>
      <c r="J22" s="102"/>
      <c r="K22" s="103"/>
      <c r="L22" s="122"/>
      <c r="M22" s="12" t="b">
        <f t="shared" si="3"/>
        <v>0</v>
      </c>
    </row>
    <row r="23" spans="2:13" ht="22.5">
      <c r="B23" s="26">
        <v>11</v>
      </c>
      <c r="C23" s="45"/>
      <c r="D23" s="46" t="str">
        <f t="shared" si="1"/>
        <v/>
      </c>
      <c r="E23" s="85"/>
      <c r="F23" s="124" t="str">
        <f t="shared" si="0"/>
        <v/>
      </c>
      <c r="G23" s="52"/>
      <c r="H23" s="102"/>
      <c r="I23" s="102"/>
      <c r="J23" s="102"/>
      <c r="K23" s="103"/>
      <c r="L23" s="122"/>
      <c r="M23" s="12" t="b">
        <f t="shared" si="3"/>
        <v>0</v>
      </c>
    </row>
    <row r="24" spans="2:13" ht="22.5">
      <c r="B24" s="26">
        <v>12</v>
      </c>
      <c r="C24" s="45"/>
      <c r="D24" s="46" t="str">
        <f t="shared" si="1"/>
        <v/>
      </c>
      <c r="E24" s="85"/>
      <c r="F24" s="124" t="str">
        <f t="shared" si="0"/>
        <v/>
      </c>
      <c r="G24" s="52"/>
      <c r="H24" s="102"/>
      <c r="I24" s="102"/>
      <c r="J24" s="102"/>
      <c r="K24" s="103"/>
      <c r="L24" s="122"/>
      <c r="M24" s="12" t="b">
        <f t="shared" si="3"/>
        <v>0</v>
      </c>
    </row>
    <row r="25" spans="2:13" ht="22.5">
      <c r="B25" s="26">
        <v>13</v>
      </c>
      <c r="C25" s="45"/>
      <c r="D25" s="46" t="str">
        <f t="shared" si="1"/>
        <v/>
      </c>
      <c r="E25" s="85"/>
      <c r="F25" s="124" t="str">
        <f>IF(D25=FALSE,"←ご確認ください",IF(OR(D25=1,D25=2,D25=3),"形式OK",""))</f>
        <v/>
      </c>
      <c r="G25" s="52"/>
      <c r="H25" s="102"/>
      <c r="I25" s="102"/>
      <c r="J25" s="102"/>
      <c r="K25" s="103"/>
      <c r="L25" s="122"/>
      <c r="M25" s="12" t="b">
        <f t="shared" si="3"/>
        <v>0</v>
      </c>
    </row>
    <row r="26" spans="2:13" ht="22.5">
      <c r="B26" s="26">
        <v>14</v>
      </c>
      <c r="C26" s="45"/>
      <c r="D26" s="46" t="str">
        <f t="shared" si="1"/>
        <v/>
      </c>
      <c r="E26" s="85"/>
      <c r="F26" s="124" t="str">
        <f t="shared" ref="F26:F77" si="4">IF(D26=FALSE,"←ご確認ください",IF(OR(D26=1,D26=2,D26=3),"形式OK",""))</f>
        <v/>
      </c>
      <c r="G26" s="52"/>
      <c r="H26" s="102"/>
      <c r="I26" s="102"/>
      <c r="J26" s="102"/>
      <c r="K26" s="103"/>
      <c r="L26" s="122"/>
      <c r="M26" s="12" t="b">
        <f t="shared" si="3"/>
        <v>0</v>
      </c>
    </row>
    <row r="27" spans="2:13" ht="22.5">
      <c r="B27" s="26">
        <v>15</v>
      </c>
      <c r="C27" s="45"/>
      <c r="D27" s="46" t="str">
        <f t="shared" si="1"/>
        <v/>
      </c>
      <c r="E27" s="85"/>
      <c r="F27" s="124" t="str">
        <f t="shared" si="4"/>
        <v/>
      </c>
      <c r="G27" s="52"/>
      <c r="H27" s="102"/>
      <c r="I27" s="102"/>
      <c r="J27" s="102"/>
      <c r="K27" s="103"/>
      <c r="L27" s="122"/>
      <c r="M27" s="12" t="b">
        <f t="shared" si="3"/>
        <v>0</v>
      </c>
    </row>
    <row r="28" spans="2:13" ht="22.5">
      <c r="B28" s="26">
        <v>16</v>
      </c>
      <c r="C28" s="45"/>
      <c r="D28" s="46" t="str">
        <f t="shared" si="1"/>
        <v/>
      </c>
      <c r="E28" s="85"/>
      <c r="F28" s="124" t="str">
        <f t="shared" si="4"/>
        <v/>
      </c>
      <c r="G28" s="52"/>
      <c r="H28" s="102"/>
      <c r="I28" s="102"/>
      <c r="J28" s="102"/>
      <c r="K28" s="103"/>
      <c r="L28" s="122"/>
      <c r="M28" s="12" t="b">
        <f t="shared" si="3"/>
        <v>0</v>
      </c>
    </row>
    <row r="29" spans="2:13" ht="22.5">
      <c r="B29" s="26">
        <v>17</v>
      </c>
      <c r="C29" s="45"/>
      <c r="D29" s="46" t="str">
        <f t="shared" si="1"/>
        <v/>
      </c>
      <c r="E29" s="85"/>
      <c r="F29" s="124" t="str">
        <f t="shared" si="4"/>
        <v/>
      </c>
      <c r="G29" s="52"/>
      <c r="H29" s="102"/>
      <c r="I29" s="102"/>
      <c r="J29" s="102"/>
      <c r="K29" s="103"/>
      <c r="L29" s="122"/>
      <c r="M29" s="12" t="b">
        <f t="shared" si="3"/>
        <v>0</v>
      </c>
    </row>
    <row r="30" spans="2:13" ht="22.5">
      <c r="B30" s="26">
        <v>18</v>
      </c>
      <c r="C30" s="45"/>
      <c r="D30" s="46" t="str">
        <f t="shared" si="1"/>
        <v/>
      </c>
      <c r="E30" s="85"/>
      <c r="F30" s="124" t="str">
        <f t="shared" si="4"/>
        <v/>
      </c>
      <c r="G30" s="52"/>
      <c r="H30" s="102"/>
      <c r="I30" s="102"/>
      <c r="J30" s="102"/>
      <c r="K30" s="103"/>
      <c r="L30" s="122"/>
      <c r="M30" s="12" t="b">
        <f t="shared" si="2"/>
        <v>0</v>
      </c>
    </row>
    <row r="31" spans="2:13" ht="22.5">
      <c r="B31" s="26">
        <v>19</v>
      </c>
      <c r="C31" s="45"/>
      <c r="D31" s="46" t="str">
        <f t="shared" si="1"/>
        <v/>
      </c>
      <c r="E31" s="85"/>
      <c r="F31" s="124" t="str">
        <f t="shared" si="4"/>
        <v/>
      </c>
      <c r="G31" s="52"/>
      <c r="H31" s="102"/>
      <c r="I31" s="102"/>
      <c r="J31" s="102"/>
      <c r="K31" s="103"/>
      <c r="L31" s="122"/>
      <c r="M31" s="12" t="b">
        <f t="shared" si="2"/>
        <v>0</v>
      </c>
    </row>
    <row r="32" spans="2:13" ht="22.5">
      <c r="B32" s="26">
        <v>20</v>
      </c>
      <c r="C32" s="45"/>
      <c r="D32" s="46" t="str">
        <f t="shared" si="1"/>
        <v/>
      </c>
      <c r="E32" s="85"/>
      <c r="F32" s="124" t="str">
        <f t="shared" si="4"/>
        <v/>
      </c>
      <c r="G32" s="52"/>
      <c r="H32" s="102"/>
      <c r="I32" s="102"/>
      <c r="J32" s="102"/>
      <c r="K32" s="103"/>
      <c r="L32" s="122"/>
      <c r="M32" s="12" t="b">
        <f t="shared" si="2"/>
        <v>0</v>
      </c>
    </row>
    <row r="33" spans="2:13" ht="22.5">
      <c r="B33" s="26">
        <v>21</v>
      </c>
      <c r="C33" s="45"/>
      <c r="D33" s="46" t="str">
        <f t="shared" si="1"/>
        <v/>
      </c>
      <c r="E33" s="85"/>
      <c r="F33" s="124" t="str">
        <f t="shared" si="4"/>
        <v/>
      </c>
      <c r="G33" s="52"/>
      <c r="H33" s="102"/>
      <c r="I33" s="102"/>
      <c r="J33" s="102"/>
      <c r="K33" s="103"/>
      <c r="L33" s="122"/>
      <c r="M33" s="12" t="b">
        <f t="shared" si="2"/>
        <v>0</v>
      </c>
    </row>
    <row r="34" spans="2:13" ht="22.5">
      <c r="B34" s="26">
        <v>22</v>
      </c>
      <c r="C34" s="45"/>
      <c r="D34" s="46" t="str">
        <f t="shared" si="1"/>
        <v/>
      </c>
      <c r="E34" s="85"/>
      <c r="F34" s="124" t="str">
        <f t="shared" si="4"/>
        <v/>
      </c>
      <c r="G34" s="52"/>
      <c r="H34" s="102"/>
      <c r="I34" s="102"/>
      <c r="J34" s="102"/>
      <c r="K34" s="103"/>
      <c r="L34" s="122"/>
      <c r="M34" s="12" t="b">
        <f t="shared" si="2"/>
        <v>0</v>
      </c>
    </row>
    <row r="35" spans="2:13" ht="22.5">
      <c r="B35" s="26">
        <v>23</v>
      </c>
      <c r="C35" s="45"/>
      <c r="D35" s="46" t="str">
        <f t="shared" si="1"/>
        <v/>
      </c>
      <c r="E35" s="85"/>
      <c r="F35" s="124" t="str">
        <f t="shared" si="4"/>
        <v/>
      </c>
      <c r="G35" s="52"/>
      <c r="H35" s="102"/>
      <c r="I35" s="102"/>
      <c r="J35" s="102"/>
      <c r="K35" s="103"/>
      <c r="L35" s="122"/>
      <c r="M35" s="12" t="b">
        <f t="shared" si="2"/>
        <v>0</v>
      </c>
    </row>
    <row r="36" spans="2:13" ht="22.5">
      <c r="B36" s="26">
        <v>24</v>
      </c>
      <c r="C36" s="45"/>
      <c r="D36" s="46" t="str">
        <f t="shared" si="1"/>
        <v/>
      </c>
      <c r="E36" s="85"/>
      <c r="F36" s="124" t="str">
        <f t="shared" si="4"/>
        <v/>
      </c>
      <c r="G36" s="52"/>
      <c r="H36" s="102"/>
      <c r="I36" s="102"/>
      <c r="J36" s="102"/>
      <c r="K36" s="103"/>
      <c r="L36" s="122"/>
      <c r="M36" s="12" t="b">
        <f t="shared" si="2"/>
        <v>0</v>
      </c>
    </row>
    <row r="37" spans="2:13" ht="22.5">
      <c r="B37" s="26">
        <v>25</v>
      </c>
      <c r="C37" s="54"/>
      <c r="D37" s="46" t="str">
        <f t="shared" si="1"/>
        <v/>
      </c>
      <c r="E37" s="84"/>
      <c r="F37" s="124" t="str">
        <f t="shared" si="4"/>
        <v/>
      </c>
      <c r="G37" s="52"/>
      <c r="H37" s="106"/>
      <c r="I37" s="106"/>
      <c r="J37" s="106"/>
      <c r="K37" s="103"/>
      <c r="L37" s="123"/>
      <c r="M37" s="12" t="b">
        <f t="shared" si="2"/>
        <v>0</v>
      </c>
    </row>
    <row r="38" spans="2:13" ht="22.5">
      <c r="B38" s="26">
        <v>26</v>
      </c>
      <c r="C38" s="54"/>
      <c r="D38" s="46" t="str">
        <f t="shared" si="1"/>
        <v/>
      </c>
      <c r="E38" s="84"/>
      <c r="F38" s="124" t="str">
        <f t="shared" si="4"/>
        <v/>
      </c>
      <c r="G38" s="52"/>
      <c r="H38" s="106"/>
      <c r="I38" s="106"/>
      <c r="J38" s="106"/>
      <c r="K38" s="103"/>
      <c r="L38" s="123"/>
      <c r="M38" s="12" t="b">
        <f t="shared" si="2"/>
        <v>0</v>
      </c>
    </row>
    <row r="39" spans="2:13" ht="22.5">
      <c r="B39" s="26">
        <v>27</v>
      </c>
      <c r="C39" s="54"/>
      <c r="D39" s="46" t="str">
        <f t="shared" si="1"/>
        <v/>
      </c>
      <c r="E39" s="84"/>
      <c r="F39" s="124" t="str">
        <f t="shared" si="4"/>
        <v/>
      </c>
      <c r="G39" s="52"/>
      <c r="H39" s="106"/>
      <c r="I39" s="106"/>
      <c r="J39" s="106"/>
      <c r="K39" s="103"/>
      <c r="L39" s="123"/>
      <c r="M39" s="12" t="b">
        <f t="shared" si="2"/>
        <v>0</v>
      </c>
    </row>
    <row r="40" spans="2:13" ht="22.5">
      <c r="B40" s="26">
        <v>28</v>
      </c>
      <c r="C40" s="54"/>
      <c r="D40" s="46" t="str">
        <f t="shared" si="1"/>
        <v/>
      </c>
      <c r="E40" s="84"/>
      <c r="F40" s="124" t="str">
        <f t="shared" si="4"/>
        <v/>
      </c>
      <c r="G40" s="52"/>
      <c r="H40" s="106"/>
      <c r="I40" s="106"/>
      <c r="J40" s="106"/>
      <c r="K40" s="103"/>
      <c r="L40" s="123"/>
      <c r="M40" s="12" t="b">
        <f t="shared" si="2"/>
        <v>0</v>
      </c>
    </row>
    <row r="41" spans="2:13" ht="22.5">
      <c r="B41" s="26">
        <v>29</v>
      </c>
      <c r="C41" s="54"/>
      <c r="D41" s="46" t="str">
        <f t="shared" si="1"/>
        <v/>
      </c>
      <c r="E41" s="84"/>
      <c r="F41" s="124" t="str">
        <f t="shared" si="4"/>
        <v/>
      </c>
      <c r="G41" s="52"/>
      <c r="H41" s="106"/>
      <c r="I41" s="106"/>
      <c r="J41" s="106"/>
      <c r="K41" s="103"/>
      <c r="L41" s="123"/>
      <c r="M41" s="12" t="b">
        <f t="shared" si="2"/>
        <v>0</v>
      </c>
    </row>
    <row r="42" spans="2:13" ht="22.5">
      <c r="B42" s="26">
        <v>30</v>
      </c>
      <c r="C42" s="54"/>
      <c r="D42" s="46" t="str">
        <f t="shared" si="1"/>
        <v/>
      </c>
      <c r="E42" s="84"/>
      <c r="F42" s="124" t="str">
        <f t="shared" si="4"/>
        <v/>
      </c>
      <c r="G42" s="52"/>
      <c r="H42" s="106"/>
      <c r="I42" s="106"/>
      <c r="J42" s="106"/>
      <c r="K42" s="103"/>
      <c r="L42" s="123"/>
      <c r="M42" s="12" t="b">
        <f t="shared" si="2"/>
        <v>0</v>
      </c>
    </row>
    <row r="43" spans="2:13" ht="22.5">
      <c r="B43" s="26">
        <v>31</v>
      </c>
      <c r="C43" s="54"/>
      <c r="D43" s="46" t="str">
        <f t="shared" si="1"/>
        <v/>
      </c>
      <c r="E43" s="84"/>
      <c r="F43" s="124" t="str">
        <f t="shared" si="4"/>
        <v/>
      </c>
      <c r="G43" s="52"/>
      <c r="H43" s="106"/>
      <c r="I43" s="106"/>
      <c r="J43" s="106"/>
      <c r="K43" s="103"/>
      <c r="L43" s="123"/>
      <c r="M43" s="12" t="b">
        <f t="shared" si="2"/>
        <v>0</v>
      </c>
    </row>
    <row r="44" spans="2:13" ht="22.5">
      <c r="B44" s="26">
        <v>32</v>
      </c>
      <c r="C44" s="54"/>
      <c r="D44" s="46" t="str">
        <f t="shared" si="1"/>
        <v/>
      </c>
      <c r="E44" s="84"/>
      <c r="F44" s="124" t="str">
        <f t="shared" si="4"/>
        <v/>
      </c>
      <c r="G44" s="52"/>
      <c r="H44" s="106"/>
      <c r="I44" s="106"/>
      <c r="J44" s="106"/>
      <c r="K44" s="103"/>
      <c r="L44" s="123"/>
      <c r="M44" s="12" t="b">
        <f t="shared" si="2"/>
        <v>0</v>
      </c>
    </row>
    <row r="45" spans="2:13" ht="22.5">
      <c r="B45" s="26">
        <v>33</v>
      </c>
      <c r="C45" s="54"/>
      <c r="D45" s="46" t="str">
        <f t="shared" si="1"/>
        <v/>
      </c>
      <c r="E45" s="84"/>
      <c r="F45" s="124" t="str">
        <f t="shared" si="4"/>
        <v/>
      </c>
      <c r="G45" s="52"/>
      <c r="H45" s="106"/>
      <c r="I45" s="106"/>
      <c r="J45" s="106"/>
      <c r="K45" s="103"/>
      <c r="L45" s="123"/>
      <c r="M45" s="12" t="b">
        <f t="shared" si="2"/>
        <v>0</v>
      </c>
    </row>
    <row r="46" spans="2:13" ht="22.5">
      <c r="B46" s="26">
        <v>34</v>
      </c>
      <c r="C46" s="54"/>
      <c r="D46" s="46" t="str">
        <f t="shared" si="1"/>
        <v/>
      </c>
      <c r="E46" s="84"/>
      <c r="F46" s="124" t="str">
        <f t="shared" si="4"/>
        <v/>
      </c>
      <c r="G46" s="52"/>
      <c r="H46" s="106"/>
      <c r="I46" s="106"/>
      <c r="J46" s="106"/>
      <c r="K46" s="103"/>
      <c r="L46" s="123"/>
      <c r="M46" s="12" t="b">
        <f t="shared" si="2"/>
        <v>0</v>
      </c>
    </row>
    <row r="47" spans="2:13" ht="22.5">
      <c r="B47" s="26">
        <v>35</v>
      </c>
      <c r="C47" s="54"/>
      <c r="D47" s="46" t="str">
        <f t="shared" si="1"/>
        <v/>
      </c>
      <c r="E47" s="84"/>
      <c r="F47" s="124" t="str">
        <f t="shared" si="4"/>
        <v/>
      </c>
      <c r="G47" s="52"/>
      <c r="H47" s="106"/>
      <c r="I47" s="106"/>
      <c r="J47" s="106"/>
      <c r="K47" s="103"/>
      <c r="L47" s="123"/>
      <c r="M47" s="12" t="b">
        <f t="shared" si="2"/>
        <v>0</v>
      </c>
    </row>
    <row r="48" spans="2:13" ht="22.5">
      <c r="B48" s="26">
        <v>36</v>
      </c>
      <c r="C48" s="54"/>
      <c r="D48" s="46" t="str">
        <f t="shared" si="1"/>
        <v/>
      </c>
      <c r="E48" s="84"/>
      <c r="F48" s="124" t="str">
        <f t="shared" si="4"/>
        <v/>
      </c>
      <c r="G48" s="52"/>
      <c r="H48" s="106"/>
      <c r="I48" s="106"/>
      <c r="J48" s="106"/>
      <c r="K48" s="103"/>
      <c r="L48" s="123"/>
      <c r="M48" s="12" t="b">
        <f t="shared" si="2"/>
        <v>0</v>
      </c>
    </row>
    <row r="49" spans="2:13" ht="22.5">
      <c r="B49" s="26">
        <v>37</v>
      </c>
      <c r="C49" s="54"/>
      <c r="D49" s="46" t="str">
        <f t="shared" si="1"/>
        <v/>
      </c>
      <c r="E49" s="84"/>
      <c r="F49" s="124" t="str">
        <f t="shared" si="4"/>
        <v/>
      </c>
      <c r="G49" s="52"/>
      <c r="H49" s="106"/>
      <c r="I49" s="106"/>
      <c r="J49" s="106"/>
      <c r="K49" s="103"/>
      <c r="L49" s="123"/>
      <c r="M49" s="12" t="b">
        <f t="shared" si="2"/>
        <v>0</v>
      </c>
    </row>
    <row r="50" spans="2:13" ht="22.5">
      <c r="B50" s="26">
        <v>38</v>
      </c>
      <c r="C50" s="54"/>
      <c r="D50" s="46" t="str">
        <f t="shared" si="1"/>
        <v/>
      </c>
      <c r="E50" s="84"/>
      <c r="F50" s="124" t="str">
        <f t="shared" si="4"/>
        <v/>
      </c>
      <c r="G50" s="52"/>
      <c r="H50" s="106"/>
      <c r="I50" s="106"/>
      <c r="J50" s="106"/>
      <c r="K50" s="103"/>
      <c r="L50" s="123"/>
      <c r="M50" s="12" t="b">
        <f t="shared" si="2"/>
        <v>0</v>
      </c>
    </row>
    <row r="51" spans="2:13" ht="22.5">
      <c r="B51" s="26">
        <v>39</v>
      </c>
      <c r="C51" s="54"/>
      <c r="D51" s="46" t="str">
        <f t="shared" si="1"/>
        <v/>
      </c>
      <c r="E51" s="84"/>
      <c r="F51" s="124" t="str">
        <f t="shared" si="4"/>
        <v/>
      </c>
      <c r="G51" s="52"/>
      <c r="H51" s="106"/>
      <c r="I51" s="106"/>
      <c r="J51" s="106"/>
      <c r="K51" s="103"/>
      <c r="L51" s="123"/>
      <c r="M51" s="12" t="b">
        <f t="shared" si="2"/>
        <v>0</v>
      </c>
    </row>
    <row r="52" spans="2:13" ht="22.5">
      <c r="B52" s="26">
        <v>40</v>
      </c>
      <c r="C52" s="54"/>
      <c r="D52" s="46" t="str">
        <f t="shared" si="1"/>
        <v/>
      </c>
      <c r="E52" s="84"/>
      <c r="F52" s="124" t="str">
        <f t="shared" si="4"/>
        <v/>
      </c>
      <c r="G52" s="52"/>
      <c r="H52" s="106"/>
      <c r="I52" s="106"/>
      <c r="J52" s="106"/>
      <c r="K52" s="103"/>
      <c r="L52" s="123"/>
      <c r="M52" s="12" t="b">
        <f t="shared" si="2"/>
        <v>0</v>
      </c>
    </row>
    <row r="53" spans="2:13" ht="22.5">
      <c r="B53" s="26">
        <v>41</v>
      </c>
      <c r="C53" s="54"/>
      <c r="D53" s="46" t="str">
        <f t="shared" si="1"/>
        <v/>
      </c>
      <c r="E53" s="84"/>
      <c r="F53" s="124" t="str">
        <f t="shared" si="4"/>
        <v/>
      </c>
      <c r="G53" s="52"/>
      <c r="H53" s="106"/>
      <c r="I53" s="106"/>
      <c r="J53" s="106"/>
      <c r="K53" s="103"/>
      <c r="L53" s="123"/>
      <c r="M53" s="12" t="b">
        <f t="shared" si="2"/>
        <v>0</v>
      </c>
    </row>
    <row r="54" spans="2:13" ht="22.5">
      <c r="B54" s="26">
        <v>42</v>
      </c>
      <c r="C54" s="54"/>
      <c r="D54" s="46" t="str">
        <f t="shared" si="1"/>
        <v/>
      </c>
      <c r="E54" s="84"/>
      <c r="F54" s="124" t="str">
        <f t="shared" si="4"/>
        <v/>
      </c>
      <c r="G54" s="52"/>
      <c r="H54" s="106"/>
      <c r="I54" s="106"/>
      <c r="J54" s="106"/>
      <c r="K54" s="103"/>
      <c r="L54" s="123"/>
      <c r="M54" s="12" t="b">
        <f t="shared" si="2"/>
        <v>0</v>
      </c>
    </row>
    <row r="55" spans="2:13" ht="22.5">
      <c r="B55" s="26">
        <v>43</v>
      </c>
      <c r="C55" s="54"/>
      <c r="D55" s="46" t="str">
        <f t="shared" si="1"/>
        <v/>
      </c>
      <c r="E55" s="84"/>
      <c r="F55" s="124" t="str">
        <f t="shared" si="4"/>
        <v/>
      </c>
      <c r="G55" s="52"/>
      <c r="H55" s="106"/>
      <c r="I55" s="106"/>
      <c r="J55" s="106"/>
      <c r="K55" s="103"/>
      <c r="L55" s="123"/>
      <c r="M55" s="12" t="b">
        <f t="shared" si="2"/>
        <v>0</v>
      </c>
    </row>
    <row r="56" spans="2:13" ht="22.5">
      <c r="B56" s="26">
        <v>44</v>
      </c>
      <c r="C56" s="54"/>
      <c r="D56" s="46" t="str">
        <f t="shared" si="1"/>
        <v/>
      </c>
      <c r="E56" s="84"/>
      <c r="F56" s="124" t="str">
        <f t="shared" si="4"/>
        <v/>
      </c>
      <c r="G56" s="52"/>
      <c r="H56" s="106"/>
      <c r="I56" s="106"/>
      <c r="J56" s="106"/>
      <c r="K56" s="103"/>
      <c r="L56" s="123"/>
      <c r="M56" s="12" t="b">
        <f t="shared" si="2"/>
        <v>0</v>
      </c>
    </row>
    <row r="57" spans="2:13" ht="22.5">
      <c r="B57" s="26">
        <v>45</v>
      </c>
      <c r="C57" s="54"/>
      <c r="D57" s="46" t="str">
        <f t="shared" si="1"/>
        <v/>
      </c>
      <c r="E57" s="84"/>
      <c r="F57" s="124" t="str">
        <f t="shared" si="4"/>
        <v/>
      </c>
      <c r="G57" s="52"/>
      <c r="H57" s="106"/>
      <c r="I57" s="106"/>
      <c r="J57" s="106"/>
      <c r="K57" s="103"/>
      <c r="L57" s="123"/>
      <c r="M57" s="12" t="b">
        <f t="shared" si="2"/>
        <v>0</v>
      </c>
    </row>
    <row r="58" spans="2:13" ht="22.5">
      <c r="B58" s="26">
        <v>46</v>
      </c>
      <c r="C58" s="54"/>
      <c r="D58" s="46" t="str">
        <f t="shared" si="1"/>
        <v/>
      </c>
      <c r="E58" s="84"/>
      <c r="F58" s="124" t="str">
        <f t="shared" si="4"/>
        <v/>
      </c>
      <c r="G58" s="52"/>
      <c r="H58" s="106"/>
      <c r="I58" s="106"/>
      <c r="J58" s="106"/>
      <c r="K58" s="103"/>
      <c r="L58" s="123"/>
      <c r="M58" s="12" t="b">
        <f t="shared" si="2"/>
        <v>0</v>
      </c>
    </row>
    <row r="59" spans="2:13" ht="22.5">
      <c r="B59" s="26">
        <v>47</v>
      </c>
      <c r="C59" s="54"/>
      <c r="D59" s="46" t="str">
        <f t="shared" si="1"/>
        <v/>
      </c>
      <c r="E59" s="84"/>
      <c r="F59" s="124" t="str">
        <f t="shared" si="4"/>
        <v/>
      </c>
      <c r="G59" s="52"/>
      <c r="H59" s="106"/>
      <c r="I59" s="106"/>
      <c r="J59" s="106"/>
      <c r="K59" s="103"/>
      <c r="L59" s="123"/>
      <c r="M59" s="12" t="b">
        <f t="shared" si="2"/>
        <v>0</v>
      </c>
    </row>
    <row r="60" spans="2:13" ht="22.5">
      <c r="B60" s="26">
        <v>48</v>
      </c>
      <c r="C60" s="54"/>
      <c r="D60" s="46" t="str">
        <f t="shared" si="1"/>
        <v/>
      </c>
      <c r="E60" s="84"/>
      <c r="F60" s="124" t="str">
        <f t="shared" si="4"/>
        <v/>
      </c>
      <c r="G60" s="52"/>
      <c r="H60" s="106"/>
      <c r="I60" s="106"/>
      <c r="J60" s="106"/>
      <c r="K60" s="103"/>
      <c r="L60" s="123"/>
      <c r="M60" s="12" t="b">
        <f t="shared" si="2"/>
        <v>0</v>
      </c>
    </row>
    <row r="61" spans="2:13" ht="22.5">
      <c r="B61" s="26">
        <v>49</v>
      </c>
      <c r="C61" s="54"/>
      <c r="D61" s="46" t="str">
        <f t="shared" si="1"/>
        <v/>
      </c>
      <c r="E61" s="84"/>
      <c r="F61" s="124" t="str">
        <f t="shared" si="4"/>
        <v/>
      </c>
      <c r="G61" s="52"/>
      <c r="H61" s="106"/>
      <c r="I61" s="106"/>
      <c r="J61" s="106"/>
      <c r="K61" s="103"/>
      <c r="L61" s="123"/>
      <c r="M61" s="12" t="b">
        <f t="shared" si="2"/>
        <v>0</v>
      </c>
    </row>
    <row r="62" spans="2:13" ht="22.5">
      <c r="B62" s="26">
        <v>50</v>
      </c>
      <c r="C62" s="54"/>
      <c r="D62" s="46" t="str">
        <f t="shared" si="1"/>
        <v/>
      </c>
      <c r="E62" s="84"/>
      <c r="F62" s="124" t="str">
        <f t="shared" si="4"/>
        <v/>
      </c>
      <c r="G62" s="52"/>
      <c r="H62" s="106"/>
      <c r="I62" s="106"/>
      <c r="J62" s="106"/>
      <c r="K62" s="103"/>
      <c r="L62" s="123"/>
      <c r="M62" s="12" t="b">
        <f t="shared" si="2"/>
        <v>0</v>
      </c>
    </row>
    <row r="63" spans="2:13" ht="22.5">
      <c r="B63" s="26">
        <v>51</v>
      </c>
      <c r="C63" s="54"/>
      <c r="D63" s="46" t="str">
        <f t="shared" si="1"/>
        <v/>
      </c>
      <c r="E63" s="84"/>
      <c r="F63" s="124" t="str">
        <f t="shared" si="4"/>
        <v/>
      </c>
      <c r="G63" s="52"/>
      <c r="H63" s="106"/>
      <c r="I63" s="106"/>
      <c r="J63" s="106"/>
      <c r="K63" s="103"/>
      <c r="L63" s="123"/>
      <c r="M63" s="12" t="b">
        <f t="shared" si="2"/>
        <v>0</v>
      </c>
    </row>
    <row r="64" spans="2:13" ht="22.5">
      <c r="B64" s="26">
        <v>52</v>
      </c>
      <c r="C64" s="54"/>
      <c r="D64" s="46" t="str">
        <f t="shared" si="1"/>
        <v/>
      </c>
      <c r="E64" s="84"/>
      <c r="F64" s="124" t="str">
        <f t="shared" si="4"/>
        <v/>
      </c>
      <c r="G64" s="52"/>
      <c r="H64" s="106"/>
      <c r="I64" s="106"/>
      <c r="J64" s="106"/>
      <c r="K64" s="103"/>
      <c r="L64" s="123"/>
      <c r="M64" s="12" t="b">
        <f t="shared" si="2"/>
        <v>0</v>
      </c>
    </row>
    <row r="65" spans="2:13" ht="22.5">
      <c r="B65" s="26">
        <v>53</v>
      </c>
      <c r="C65" s="54"/>
      <c r="D65" s="46" t="str">
        <f t="shared" si="1"/>
        <v/>
      </c>
      <c r="E65" s="84"/>
      <c r="F65" s="124" t="str">
        <f t="shared" si="4"/>
        <v/>
      </c>
      <c r="G65" s="52"/>
      <c r="H65" s="106"/>
      <c r="I65" s="106"/>
      <c r="J65" s="106"/>
      <c r="K65" s="103"/>
      <c r="L65" s="123"/>
      <c r="M65" s="12" t="b">
        <f t="shared" si="2"/>
        <v>0</v>
      </c>
    </row>
    <row r="66" spans="2:13" ht="22.5">
      <c r="B66" s="26">
        <v>54</v>
      </c>
      <c r="C66" s="54"/>
      <c r="D66" s="46" t="str">
        <f t="shared" si="1"/>
        <v/>
      </c>
      <c r="E66" s="84"/>
      <c r="F66" s="124" t="str">
        <f t="shared" si="4"/>
        <v/>
      </c>
      <c r="G66" s="52"/>
      <c r="H66" s="106"/>
      <c r="I66" s="106"/>
      <c r="J66" s="106"/>
      <c r="K66" s="103"/>
      <c r="L66" s="123"/>
      <c r="M66" s="12" t="b">
        <f t="shared" si="2"/>
        <v>0</v>
      </c>
    </row>
    <row r="67" spans="2:13" ht="22.5">
      <c r="B67" s="26">
        <v>55</v>
      </c>
      <c r="C67" s="54"/>
      <c r="D67" s="46" t="str">
        <f t="shared" si="1"/>
        <v/>
      </c>
      <c r="E67" s="84"/>
      <c r="F67" s="124" t="str">
        <f t="shared" si="4"/>
        <v/>
      </c>
      <c r="G67" s="52"/>
      <c r="H67" s="106"/>
      <c r="I67" s="106"/>
      <c r="J67" s="106"/>
      <c r="K67" s="103"/>
      <c r="L67" s="123"/>
      <c r="M67" s="12" t="b">
        <f t="shared" si="2"/>
        <v>0</v>
      </c>
    </row>
    <row r="68" spans="2:13" ht="22.5">
      <c r="B68" s="26">
        <v>56</v>
      </c>
      <c r="C68" s="54"/>
      <c r="D68" s="46" t="str">
        <f t="shared" si="1"/>
        <v/>
      </c>
      <c r="E68" s="84"/>
      <c r="F68" s="124" t="str">
        <f t="shared" si="4"/>
        <v/>
      </c>
      <c r="G68" s="52"/>
      <c r="H68" s="106"/>
      <c r="I68" s="106"/>
      <c r="J68" s="106"/>
      <c r="K68" s="103"/>
      <c r="L68" s="123"/>
      <c r="M68" s="12" t="b">
        <f t="shared" si="2"/>
        <v>0</v>
      </c>
    </row>
    <row r="69" spans="2:13" ht="22.5">
      <c r="B69" s="26">
        <v>57</v>
      </c>
      <c r="C69" s="54"/>
      <c r="D69" s="46" t="str">
        <f t="shared" si="1"/>
        <v/>
      </c>
      <c r="E69" s="84"/>
      <c r="F69" s="124" t="str">
        <f t="shared" si="4"/>
        <v/>
      </c>
      <c r="G69" s="52"/>
      <c r="H69" s="106"/>
      <c r="I69" s="106"/>
      <c r="J69" s="106"/>
      <c r="K69" s="103"/>
      <c r="L69" s="123"/>
      <c r="M69" s="12" t="b">
        <f t="shared" si="2"/>
        <v>0</v>
      </c>
    </row>
    <row r="70" spans="2:13" ht="22.5">
      <c r="B70" s="26">
        <v>58</v>
      </c>
      <c r="C70" s="54"/>
      <c r="D70" s="46" t="str">
        <f t="shared" si="1"/>
        <v/>
      </c>
      <c r="E70" s="84"/>
      <c r="F70" s="124" t="str">
        <f t="shared" si="4"/>
        <v/>
      </c>
      <c r="G70" s="52"/>
      <c r="H70" s="106"/>
      <c r="I70" s="106"/>
      <c r="J70" s="106"/>
      <c r="K70" s="103"/>
      <c r="L70" s="123"/>
      <c r="M70" s="12" t="b">
        <f t="shared" si="2"/>
        <v>0</v>
      </c>
    </row>
    <row r="71" spans="2:13" ht="22.5">
      <c r="B71" s="26">
        <v>59</v>
      </c>
      <c r="C71" s="54"/>
      <c r="D71" s="46" t="str">
        <f t="shared" si="1"/>
        <v/>
      </c>
      <c r="E71" s="84"/>
      <c r="F71" s="124" t="str">
        <f t="shared" si="4"/>
        <v/>
      </c>
      <c r="G71" s="52"/>
      <c r="H71" s="106"/>
      <c r="I71" s="106"/>
      <c r="J71" s="106"/>
      <c r="K71" s="103"/>
      <c r="L71" s="123"/>
      <c r="M71" s="12" t="b">
        <f t="shared" si="2"/>
        <v>0</v>
      </c>
    </row>
    <row r="72" spans="2:13" ht="22.5">
      <c r="B72" s="26">
        <v>60</v>
      </c>
      <c r="C72" s="54"/>
      <c r="D72" s="46" t="str">
        <f t="shared" si="1"/>
        <v/>
      </c>
      <c r="E72" s="84"/>
      <c r="F72" s="124" t="str">
        <f t="shared" si="4"/>
        <v/>
      </c>
      <c r="G72" s="52"/>
      <c r="H72" s="106"/>
      <c r="I72" s="106"/>
      <c r="J72" s="106"/>
      <c r="K72" s="103"/>
      <c r="L72" s="123"/>
      <c r="M72" s="12" t="b">
        <f t="shared" si="2"/>
        <v>0</v>
      </c>
    </row>
    <row r="73" spans="2:13" ht="22.5">
      <c r="B73" s="26">
        <v>61</v>
      </c>
      <c r="C73" s="54"/>
      <c r="D73" s="46" t="str">
        <f t="shared" si="1"/>
        <v/>
      </c>
      <c r="E73" s="84"/>
      <c r="F73" s="124" t="str">
        <f t="shared" si="4"/>
        <v/>
      </c>
      <c r="G73" s="52"/>
      <c r="H73" s="106"/>
      <c r="I73" s="106"/>
      <c r="J73" s="106"/>
      <c r="K73" s="103"/>
      <c r="L73" s="123"/>
      <c r="M73" s="12" t="b">
        <f t="shared" si="2"/>
        <v>0</v>
      </c>
    </row>
    <row r="74" spans="2:13" ht="22.5">
      <c r="B74" s="26">
        <v>62</v>
      </c>
      <c r="C74" s="54"/>
      <c r="D74" s="46" t="str">
        <f t="shared" si="1"/>
        <v/>
      </c>
      <c r="E74" s="84"/>
      <c r="F74" s="124" t="str">
        <f t="shared" si="4"/>
        <v/>
      </c>
      <c r="G74" s="52"/>
      <c r="H74" s="106"/>
      <c r="I74" s="106"/>
      <c r="J74" s="106"/>
      <c r="K74" s="103"/>
      <c r="L74" s="123"/>
      <c r="M74" s="12" t="b">
        <f t="shared" si="2"/>
        <v>0</v>
      </c>
    </row>
    <row r="75" spans="2:13" ht="22.5">
      <c r="B75" s="26">
        <v>63</v>
      </c>
      <c r="C75" s="54"/>
      <c r="D75" s="46" t="str">
        <f t="shared" si="1"/>
        <v/>
      </c>
      <c r="E75" s="84"/>
      <c r="F75" s="124" t="str">
        <f t="shared" si="4"/>
        <v/>
      </c>
      <c r="G75" s="52"/>
      <c r="H75" s="106"/>
      <c r="I75" s="106"/>
      <c r="J75" s="106"/>
      <c r="K75" s="103"/>
      <c r="L75" s="123"/>
      <c r="M75" s="12" t="b">
        <f t="shared" si="2"/>
        <v>0</v>
      </c>
    </row>
    <row r="76" spans="2:13" ht="22.5">
      <c r="B76" s="26">
        <v>64</v>
      </c>
      <c r="C76" s="54"/>
      <c r="D76" s="46" t="str">
        <f t="shared" si="1"/>
        <v/>
      </c>
      <c r="E76" s="84"/>
      <c r="F76" s="124" t="str">
        <f t="shared" si="4"/>
        <v/>
      </c>
      <c r="G76" s="52"/>
      <c r="H76" s="106"/>
      <c r="I76" s="106"/>
      <c r="J76" s="106"/>
      <c r="K76" s="103"/>
      <c r="L76" s="123"/>
      <c r="M76" s="12" t="b">
        <f t="shared" si="2"/>
        <v>0</v>
      </c>
    </row>
    <row r="77" spans="2:13" ht="22.5">
      <c r="B77" s="26">
        <v>65</v>
      </c>
      <c r="C77" s="54"/>
      <c r="D77" s="46" t="str">
        <f t="shared" si="1"/>
        <v/>
      </c>
      <c r="E77" s="84"/>
      <c r="F77" s="124" t="str">
        <f t="shared" si="4"/>
        <v/>
      </c>
      <c r="G77" s="52"/>
      <c r="H77" s="106"/>
      <c r="I77" s="106"/>
      <c r="J77" s="106"/>
      <c r="K77" s="103"/>
      <c r="L77" s="123"/>
      <c r="M77" s="12" t="b">
        <f t="shared" si="2"/>
        <v>0</v>
      </c>
    </row>
    <row r="78" spans="2:13" ht="22.5">
      <c r="B78" s="26">
        <v>66</v>
      </c>
      <c r="C78" s="54"/>
      <c r="D78" s="46" t="str">
        <f t="shared" ref="D78:D141" si="5">IF(LEN(E78)=0,"",IF((AND(ISNUMBER(VALUE(E78)),LEN(E78)=12)),3,IF(AND(ISNUMBER(VALUE(E78)),(LEN(E78)=10)),1,IF(LEFT(E78)="R",IF(AND(ABS(LEN(E78)-11)=1,ISNUMBER(VALUE(RIGHT(E78,LEN(E78)-1)))),2,FALSE),FALSE))))</f>
        <v/>
      </c>
      <c r="E78" s="84"/>
      <c r="F78" s="124" t="str">
        <f t="shared" ref="F78:F141" si="6">IF(D78=FALSE,"←ご確認ください",IF(OR(D78=1,D78=2,D78=3),"形式OK",""))</f>
        <v/>
      </c>
      <c r="G78" s="52"/>
      <c r="H78" s="106"/>
      <c r="I78" s="106"/>
      <c r="J78" s="106"/>
      <c r="K78" s="103"/>
      <c r="L78" s="123"/>
      <c r="M78" s="12" t="b">
        <f t="shared" ref="M78:M141" si="7">IF(COUNTA(E78,G78)=0,FALSE,TRUE)</f>
        <v>0</v>
      </c>
    </row>
    <row r="79" spans="2:13" ht="22.5">
      <c r="B79" s="26">
        <v>67</v>
      </c>
      <c r="C79" s="54"/>
      <c r="D79" s="46" t="str">
        <f t="shared" si="5"/>
        <v/>
      </c>
      <c r="E79" s="84"/>
      <c r="F79" s="124" t="str">
        <f t="shared" si="6"/>
        <v/>
      </c>
      <c r="G79" s="52"/>
      <c r="H79" s="106"/>
      <c r="I79" s="106"/>
      <c r="J79" s="106"/>
      <c r="K79" s="103"/>
      <c r="L79" s="123"/>
      <c r="M79" s="12" t="b">
        <f t="shared" si="7"/>
        <v>0</v>
      </c>
    </row>
    <row r="80" spans="2:13" ht="22.5">
      <c r="B80" s="26">
        <v>68</v>
      </c>
      <c r="C80" s="54"/>
      <c r="D80" s="46" t="str">
        <f t="shared" si="5"/>
        <v/>
      </c>
      <c r="E80" s="84"/>
      <c r="F80" s="124" t="str">
        <f t="shared" si="6"/>
        <v/>
      </c>
      <c r="G80" s="52"/>
      <c r="H80" s="106"/>
      <c r="I80" s="106"/>
      <c r="J80" s="106"/>
      <c r="K80" s="103"/>
      <c r="L80" s="123"/>
      <c r="M80" s="12" t="b">
        <f t="shared" si="7"/>
        <v>0</v>
      </c>
    </row>
    <row r="81" spans="2:13" ht="22.5">
      <c r="B81" s="26">
        <v>69</v>
      </c>
      <c r="C81" s="54"/>
      <c r="D81" s="46" t="str">
        <f t="shared" si="5"/>
        <v/>
      </c>
      <c r="E81" s="84"/>
      <c r="F81" s="124" t="str">
        <f t="shared" si="6"/>
        <v/>
      </c>
      <c r="G81" s="52"/>
      <c r="H81" s="106"/>
      <c r="I81" s="106"/>
      <c r="J81" s="106"/>
      <c r="K81" s="103"/>
      <c r="L81" s="123"/>
      <c r="M81" s="12" t="b">
        <f t="shared" si="7"/>
        <v>0</v>
      </c>
    </row>
    <row r="82" spans="2:13" ht="22.5">
      <c r="B82" s="26">
        <v>70</v>
      </c>
      <c r="C82" s="54"/>
      <c r="D82" s="46" t="str">
        <f t="shared" si="5"/>
        <v/>
      </c>
      <c r="E82" s="84"/>
      <c r="F82" s="124" t="str">
        <f t="shared" si="6"/>
        <v/>
      </c>
      <c r="G82" s="52"/>
      <c r="H82" s="106"/>
      <c r="I82" s="106"/>
      <c r="J82" s="106"/>
      <c r="K82" s="103"/>
      <c r="L82" s="123"/>
      <c r="M82" s="12" t="b">
        <f t="shared" si="7"/>
        <v>0</v>
      </c>
    </row>
    <row r="83" spans="2:13" ht="22.5">
      <c r="B83" s="26">
        <v>71</v>
      </c>
      <c r="C83" s="54"/>
      <c r="D83" s="46" t="str">
        <f t="shared" si="5"/>
        <v/>
      </c>
      <c r="E83" s="84"/>
      <c r="F83" s="124" t="str">
        <f t="shared" si="6"/>
        <v/>
      </c>
      <c r="G83" s="52"/>
      <c r="H83" s="106"/>
      <c r="I83" s="106"/>
      <c r="J83" s="106"/>
      <c r="K83" s="103"/>
      <c r="L83" s="123"/>
      <c r="M83" s="12" t="b">
        <f t="shared" si="7"/>
        <v>0</v>
      </c>
    </row>
    <row r="84" spans="2:13" ht="22.5">
      <c r="B84" s="26">
        <v>72</v>
      </c>
      <c r="C84" s="54"/>
      <c r="D84" s="46" t="str">
        <f t="shared" si="5"/>
        <v/>
      </c>
      <c r="E84" s="84"/>
      <c r="F84" s="124" t="str">
        <f t="shared" si="6"/>
        <v/>
      </c>
      <c r="G84" s="52"/>
      <c r="H84" s="106"/>
      <c r="I84" s="106"/>
      <c r="J84" s="106"/>
      <c r="K84" s="103"/>
      <c r="L84" s="123"/>
      <c r="M84" s="12" t="b">
        <f t="shared" si="7"/>
        <v>0</v>
      </c>
    </row>
    <row r="85" spans="2:13" ht="22.5">
      <c r="B85" s="26">
        <v>73</v>
      </c>
      <c r="C85" s="54"/>
      <c r="D85" s="46" t="str">
        <f t="shared" si="5"/>
        <v/>
      </c>
      <c r="E85" s="84"/>
      <c r="F85" s="124" t="str">
        <f t="shared" si="6"/>
        <v/>
      </c>
      <c r="G85" s="52"/>
      <c r="H85" s="106"/>
      <c r="I85" s="106"/>
      <c r="J85" s="106"/>
      <c r="K85" s="103"/>
      <c r="L85" s="123"/>
      <c r="M85" s="12" t="b">
        <f t="shared" si="7"/>
        <v>0</v>
      </c>
    </row>
    <row r="86" spans="2:13" ht="22.5">
      <c r="B86" s="26">
        <v>74</v>
      </c>
      <c r="C86" s="54"/>
      <c r="D86" s="46" t="str">
        <f t="shared" si="5"/>
        <v/>
      </c>
      <c r="E86" s="84"/>
      <c r="F86" s="124" t="str">
        <f t="shared" si="6"/>
        <v/>
      </c>
      <c r="G86" s="52"/>
      <c r="H86" s="106"/>
      <c r="I86" s="106"/>
      <c r="J86" s="106"/>
      <c r="K86" s="103"/>
      <c r="L86" s="123"/>
      <c r="M86" s="12" t="b">
        <f t="shared" si="7"/>
        <v>0</v>
      </c>
    </row>
    <row r="87" spans="2:13" ht="22.5">
      <c r="B87" s="26">
        <v>75</v>
      </c>
      <c r="C87" s="54"/>
      <c r="D87" s="46" t="str">
        <f t="shared" si="5"/>
        <v/>
      </c>
      <c r="E87" s="84"/>
      <c r="F87" s="124" t="str">
        <f t="shared" si="6"/>
        <v/>
      </c>
      <c r="G87" s="52"/>
      <c r="H87" s="106"/>
      <c r="I87" s="106"/>
      <c r="J87" s="106"/>
      <c r="K87" s="103"/>
      <c r="L87" s="123"/>
      <c r="M87" s="12" t="b">
        <f t="shared" si="7"/>
        <v>0</v>
      </c>
    </row>
    <row r="88" spans="2:13" ht="22.5">
      <c r="B88" s="26">
        <v>76</v>
      </c>
      <c r="C88" s="54"/>
      <c r="D88" s="46" t="str">
        <f t="shared" si="5"/>
        <v/>
      </c>
      <c r="E88" s="84"/>
      <c r="F88" s="124" t="str">
        <f t="shared" si="6"/>
        <v/>
      </c>
      <c r="G88" s="52"/>
      <c r="H88" s="106"/>
      <c r="I88" s="106"/>
      <c r="J88" s="106"/>
      <c r="K88" s="103"/>
      <c r="L88" s="123"/>
      <c r="M88" s="12" t="b">
        <f t="shared" si="7"/>
        <v>0</v>
      </c>
    </row>
    <row r="89" spans="2:13" ht="22.5">
      <c r="B89" s="26">
        <v>77</v>
      </c>
      <c r="C89" s="54"/>
      <c r="D89" s="46" t="str">
        <f t="shared" si="5"/>
        <v/>
      </c>
      <c r="E89" s="84"/>
      <c r="F89" s="124" t="str">
        <f t="shared" si="6"/>
        <v/>
      </c>
      <c r="G89" s="52"/>
      <c r="H89" s="106"/>
      <c r="I89" s="106"/>
      <c r="J89" s="106"/>
      <c r="K89" s="103"/>
      <c r="L89" s="123"/>
      <c r="M89" s="12" t="b">
        <f t="shared" si="7"/>
        <v>0</v>
      </c>
    </row>
    <row r="90" spans="2:13" ht="22.5">
      <c r="B90" s="26">
        <v>78</v>
      </c>
      <c r="C90" s="54"/>
      <c r="D90" s="46" t="str">
        <f t="shared" si="5"/>
        <v/>
      </c>
      <c r="E90" s="84"/>
      <c r="F90" s="124" t="str">
        <f t="shared" si="6"/>
        <v/>
      </c>
      <c r="G90" s="52"/>
      <c r="H90" s="106"/>
      <c r="I90" s="106"/>
      <c r="J90" s="106"/>
      <c r="K90" s="103"/>
      <c r="L90" s="123"/>
      <c r="M90" s="12" t="b">
        <f t="shared" si="7"/>
        <v>0</v>
      </c>
    </row>
    <row r="91" spans="2:13" ht="22.5">
      <c r="B91" s="26">
        <v>79</v>
      </c>
      <c r="C91" s="54"/>
      <c r="D91" s="46" t="str">
        <f t="shared" si="5"/>
        <v/>
      </c>
      <c r="E91" s="84"/>
      <c r="F91" s="124" t="str">
        <f t="shared" si="6"/>
        <v/>
      </c>
      <c r="G91" s="52"/>
      <c r="H91" s="106"/>
      <c r="I91" s="106"/>
      <c r="J91" s="106"/>
      <c r="K91" s="103"/>
      <c r="L91" s="123"/>
      <c r="M91" s="12" t="b">
        <f t="shared" si="7"/>
        <v>0</v>
      </c>
    </row>
    <row r="92" spans="2:13" ht="22.5">
      <c r="B92" s="26">
        <v>80</v>
      </c>
      <c r="C92" s="54"/>
      <c r="D92" s="46" t="str">
        <f t="shared" si="5"/>
        <v/>
      </c>
      <c r="E92" s="84"/>
      <c r="F92" s="124" t="str">
        <f t="shared" si="6"/>
        <v/>
      </c>
      <c r="G92" s="52"/>
      <c r="H92" s="106"/>
      <c r="I92" s="106"/>
      <c r="J92" s="106"/>
      <c r="K92" s="103"/>
      <c r="L92" s="123"/>
      <c r="M92" s="12" t="b">
        <f t="shared" si="7"/>
        <v>0</v>
      </c>
    </row>
    <row r="93" spans="2:13" ht="22.5">
      <c r="B93" s="26">
        <v>81</v>
      </c>
      <c r="C93" s="54"/>
      <c r="D93" s="46" t="str">
        <f t="shared" si="5"/>
        <v/>
      </c>
      <c r="E93" s="84"/>
      <c r="F93" s="124" t="str">
        <f t="shared" si="6"/>
        <v/>
      </c>
      <c r="G93" s="52"/>
      <c r="H93" s="106"/>
      <c r="I93" s="106"/>
      <c r="J93" s="106"/>
      <c r="K93" s="103"/>
      <c r="L93" s="123"/>
      <c r="M93" s="12" t="b">
        <f t="shared" si="7"/>
        <v>0</v>
      </c>
    </row>
    <row r="94" spans="2:13" ht="22.5">
      <c r="B94" s="26">
        <v>82</v>
      </c>
      <c r="C94" s="54"/>
      <c r="D94" s="46" t="str">
        <f t="shared" si="5"/>
        <v/>
      </c>
      <c r="E94" s="84"/>
      <c r="F94" s="124" t="str">
        <f t="shared" si="6"/>
        <v/>
      </c>
      <c r="G94" s="52"/>
      <c r="H94" s="106"/>
      <c r="I94" s="106"/>
      <c r="J94" s="106"/>
      <c r="K94" s="103"/>
      <c r="L94" s="123"/>
      <c r="M94" s="12" t="b">
        <f t="shared" si="7"/>
        <v>0</v>
      </c>
    </row>
    <row r="95" spans="2:13" ht="22.5">
      <c r="B95" s="26">
        <v>83</v>
      </c>
      <c r="C95" s="54"/>
      <c r="D95" s="46" t="str">
        <f t="shared" si="5"/>
        <v/>
      </c>
      <c r="E95" s="84"/>
      <c r="F95" s="124" t="str">
        <f t="shared" si="6"/>
        <v/>
      </c>
      <c r="G95" s="52"/>
      <c r="H95" s="106"/>
      <c r="I95" s="106"/>
      <c r="J95" s="106"/>
      <c r="K95" s="103"/>
      <c r="L95" s="123"/>
      <c r="M95" s="12" t="b">
        <f t="shared" si="7"/>
        <v>0</v>
      </c>
    </row>
    <row r="96" spans="2:13" ht="22.5">
      <c r="B96" s="26">
        <v>84</v>
      </c>
      <c r="C96" s="54"/>
      <c r="D96" s="46" t="str">
        <f t="shared" si="5"/>
        <v/>
      </c>
      <c r="E96" s="84"/>
      <c r="F96" s="124" t="str">
        <f t="shared" si="6"/>
        <v/>
      </c>
      <c r="G96" s="52"/>
      <c r="H96" s="106"/>
      <c r="I96" s="106"/>
      <c r="J96" s="106"/>
      <c r="K96" s="103"/>
      <c r="L96" s="123"/>
      <c r="M96" s="12" t="b">
        <f t="shared" si="7"/>
        <v>0</v>
      </c>
    </row>
    <row r="97" spans="2:13" ht="22.5">
      <c r="B97" s="26">
        <v>85</v>
      </c>
      <c r="C97" s="54"/>
      <c r="D97" s="46" t="str">
        <f t="shared" si="5"/>
        <v/>
      </c>
      <c r="E97" s="84"/>
      <c r="F97" s="124" t="str">
        <f t="shared" si="6"/>
        <v/>
      </c>
      <c r="G97" s="52"/>
      <c r="H97" s="106"/>
      <c r="I97" s="106"/>
      <c r="J97" s="106"/>
      <c r="K97" s="103"/>
      <c r="L97" s="123"/>
      <c r="M97" s="12" t="b">
        <f t="shared" si="7"/>
        <v>0</v>
      </c>
    </row>
    <row r="98" spans="2:13" ht="22.5">
      <c r="B98" s="26">
        <v>86</v>
      </c>
      <c r="C98" s="54"/>
      <c r="D98" s="46" t="str">
        <f t="shared" si="5"/>
        <v/>
      </c>
      <c r="E98" s="84"/>
      <c r="F98" s="124" t="str">
        <f t="shared" si="6"/>
        <v/>
      </c>
      <c r="G98" s="52"/>
      <c r="H98" s="106"/>
      <c r="I98" s="106"/>
      <c r="J98" s="106"/>
      <c r="K98" s="103"/>
      <c r="L98" s="123"/>
      <c r="M98" s="12" t="b">
        <f t="shared" si="7"/>
        <v>0</v>
      </c>
    </row>
    <row r="99" spans="2:13" ht="22.5">
      <c r="B99" s="26">
        <v>87</v>
      </c>
      <c r="C99" s="54"/>
      <c r="D99" s="46" t="str">
        <f t="shared" si="5"/>
        <v/>
      </c>
      <c r="E99" s="84"/>
      <c r="F99" s="124" t="str">
        <f t="shared" si="6"/>
        <v/>
      </c>
      <c r="G99" s="52"/>
      <c r="H99" s="106"/>
      <c r="I99" s="106"/>
      <c r="J99" s="106"/>
      <c r="K99" s="103"/>
      <c r="L99" s="123"/>
      <c r="M99" s="12" t="b">
        <f t="shared" si="7"/>
        <v>0</v>
      </c>
    </row>
    <row r="100" spans="2:13" ht="22.5">
      <c r="B100" s="26">
        <v>88</v>
      </c>
      <c r="C100" s="54"/>
      <c r="D100" s="46" t="str">
        <f t="shared" si="5"/>
        <v/>
      </c>
      <c r="E100" s="84"/>
      <c r="F100" s="124" t="str">
        <f t="shared" si="6"/>
        <v/>
      </c>
      <c r="G100" s="52"/>
      <c r="H100" s="106"/>
      <c r="I100" s="106"/>
      <c r="J100" s="106"/>
      <c r="K100" s="103"/>
      <c r="L100" s="123"/>
      <c r="M100" s="12" t="b">
        <f t="shared" si="7"/>
        <v>0</v>
      </c>
    </row>
    <row r="101" spans="2:13" ht="22.5">
      <c r="B101" s="26">
        <v>89</v>
      </c>
      <c r="C101" s="54"/>
      <c r="D101" s="46" t="str">
        <f t="shared" si="5"/>
        <v/>
      </c>
      <c r="E101" s="84"/>
      <c r="F101" s="124" t="str">
        <f t="shared" si="6"/>
        <v/>
      </c>
      <c r="G101" s="52"/>
      <c r="H101" s="106"/>
      <c r="I101" s="106"/>
      <c r="J101" s="106"/>
      <c r="K101" s="103"/>
      <c r="L101" s="123"/>
      <c r="M101" s="12" t="b">
        <f t="shared" si="7"/>
        <v>0</v>
      </c>
    </row>
    <row r="102" spans="2:13" ht="22.5">
      <c r="B102" s="26">
        <v>90</v>
      </c>
      <c r="C102" s="54"/>
      <c r="D102" s="46" t="str">
        <f t="shared" si="5"/>
        <v/>
      </c>
      <c r="E102" s="84"/>
      <c r="F102" s="124" t="str">
        <f t="shared" si="6"/>
        <v/>
      </c>
      <c r="G102" s="52"/>
      <c r="H102" s="106"/>
      <c r="I102" s="106"/>
      <c r="J102" s="106"/>
      <c r="K102" s="103"/>
      <c r="L102" s="123"/>
      <c r="M102" s="12" t="b">
        <f t="shared" si="7"/>
        <v>0</v>
      </c>
    </row>
    <row r="103" spans="2:13" ht="22.5">
      <c r="B103" s="26">
        <v>91</v>
      </c>
      <c r="C103" s="54"/>
      <c r="D103" s="46" t="str">
        <f t="shared" si="5"/>
        <v/>
      </c>
      <c r="E103" s="84"/>
      <c r="F103" s="124" t="str">
        <f t="shared" si="6"/>
        <v/>
      </c>
      <c r="G103" s="52"/>
      <c r="H103" s="106"/>
      <c r="I103" s="106"/>
      <c r="J103" s="106"/>
      <c r="K103" s="103"/>
      <c r="L103" s="123"/>
      <c r="M103" s="12" t="b">
        <f t="shared" si="7"/>
        <v>0</v>
      </c>
    </row>
    <row r="104" spans="2:13" ht="22.5">
      <c r="B104" s="26">
        <v>92</v>
      </c>
      <c r="C104" s="54"/>
      <c r="D104" s="46" t="str">
        <f t="shared" si="5"/>
        <v/>
      </c>
      <c r="E104" s="84"/>
      <c r="F104" s="124" t="str">
        <f t="shared" si="6"/>
        <v/>
      </c>
      <c r="G104" s="52"/>
      <c r="H104" s="106"/>
      <c r="I104" s="106"/>
      <c r="J104" s="106"/>
      <c r="K104" s="103"/>
      <c r="L104" s="123"/>
      <c r="M104" s="12" t="b">
        <f t="shared" si="7"/>
        <v>0</v>
      </c>
    </row>
    <row r="105" spans="2:13" ht="22.5">
      <c r="B105" s="26">
        <v>93</v>
      </c>
      <c r="C105" s="54"/>
      <c r="D105" s="46" t="str">
        <f t="shared" si="5"/>
        <v/>
      </c>
      <c r="E105" s="84"/>
      <c r="F105" s="124" t="str">
        <f t="shared" si="6"/>
        <v/>
      </c>
      <c r="G105" s="52"/>
      <c r="H105" s="106"/>
      <c r="I105" s="106"/>
      <c r="J105" s="106"/>
      <c r="K105" s="103"/>
      <c r="L105" s="123"/>
      <c r="M105" s="12" t="b">
        <f t="shared" si="7"/>
        <v>0</v>
      </c>
    </row>
    <row r="106" spans="2:13" ht="22.5">
      <c r="B106" s="26">
        <v>94</v>
      </c>
      <c r="C106" s="54"/>
      <c r="D106" s="46" t="str">
        <f t="shared" si="5"/>
        <v/>
      </c>
      <c r="E106" s="84"/>
      <c r="F106" s="124" t="str">
        <f t="shared" si="6"/>
        <v/>
      </c>
      <c r="G106" s="52"/>
      <c r="H106" s="106"/>
      <c r="I106" s="106"/>
      <c r="J106" s="106"/>
      <c r="K106" s="103"/>
      <c r="L106" s="123"/>
      <c r="M106" s="12" t="b">
        <f t="shared" si="7"/>
        <v>0</v>
      </c>
    </row>
    <row r="107" spans="2:13" ht="22.5">
      <c r="B107" s="26">
        <v>95</v>
      </c>
      <c r="C107" s="54"/>
      <c r="D107" s="46" t="str">
        <f t="shared" si="5"/>
        <v/>
      </c>
      <c r="E107" s="84"/>
      <c r="F107" s="124" t="str">
        <f t="shared" si="6"/>
        <v/>
      </c>
      <c r="G107" s="52"/>
      <c r="H107" s="106"/>
      <c r="I107" s="106"/>
      <c r="J107" s="106"/>
      <c r="K107" s="103"/>
      <c r="L107" s="123"/>
      <c r="M107" s="12" t="b">
        <f t="shared" si="7"/>
        <v>0</v>
      </c>
    </row>
    <row r="108" spans="2:13" ht="22.5">
      <c r="B108" s="26">
        <v>96</v>
      </c>
      <c r="C108" s="54"/>
      <c r="D108" s="46" t="str">
        <f t="shared" si="5"/>
        <v/>
      </c>
      <c r="E108" s="84"/>
      <c r="F108" s="124" t="str">
        <f t="shared" si="6"/>
        <v/>
      </c>
      <c r="G108" s="52"/>
      <c r="H108" s="106"/>
      <c r="I108" s="106"/>
      <c r="J108" s="106"/>
      <c r="K108" s="103"/>
      <c r="L108" s="123"/>
      <c r="M108" s="12" t="b">
        <f t="shared" si="7"/>
        <v>0</v>
      </c>
    </row>
    <row r="109" spans="2:13" ht="22.5">
      <c r="B109" s="26">
        <v>97</v>
      </c>
      <c r="C109" s="54"/>
      <c r="D109" s="46" t="str">
        <f t="shared" si="5"/>
        <v/>
      </c>
      <c r="E109" s="84"/>
      <c r="F109" s="124" t="str">
        <f t="shared" si="6"/>
        <v/>
      </c>
      <c r="G109" s="52"/>
      <c r="H109" s="106"/>
      <c r="I109" s="106"/>
      <c r="J109" s="106"/>
      <c r="K109" s="103"/>
      <c r="L109" s="123"/>
      <c r="M109" s="12" t="b">
        <f t="shared" si="7"/>
        <v>0</v>
      </c>
    </row>
    <row r="110" spans="2:13" ht="22.5">
      <c r="B110" s="26">
        <v>98</v>
      </c>
      <c r="C110" s="54"/>
      <c r="D110" s="46" t="str">
        <f t="shared" si="5"/>
        <v/>
      </c>
      <c r="E110" s="84"/>
      <c r="F110" s="124" t="str">
        <f t="shared" si="6"/>
        <v/>
      </c>
      <c r="G110" s="52"/>
      <c r="H110" s="106"/>
      <c r="I110" s="106"/>
      <c r="J110" s="106"/>
      <c r="K110" s="103"/>
      <c r="L110" s="123"/>
      <c r="M110" s="12" t="b">
        <f t="shared" si="7"/>
        <v>0</v>
      </c>
    </row>
    <row r="111" spans="2:13" ht="22.5">
      <c r="B111" s="26">
        <v>99</v>
      </c>
      <c r="C111" s="54"/>
      <c r="D111" s="46" t="str">
        <f t="shared" si="5"/>
        <v/>
      </c>
      <c r="E111" s="84"/>
      <c r="F111" s="124" t="str">
        <f t="shared" si="6"/>
        <v/>
      </c>
      <c r="G111" s="52"/>
      <c r="H111" s="106"/>
      <c r="I111" s="106"/>
      <c r="J111" s="106"/>
      <c r="K111" s="103"/>
      <c r="L111" s="123"/>
      <c r="M111" s="12" t="b">
        <f t="shared" si="7"/>
        <v>0</v>
      </c>
    </row>
    <row r="112" spans="2:13" ht="22.5">
      <c r="B112" s="26">
        <v>100</v>
      </c>
      <c r="C112" s="54"/>
      <c r="D112" s="46" t="str">
        <f t="shared" si="5"/>
        <v/>
      </c>
      <c r="E112" s="84"/>
      <c r="F112" s="124" t="str">
        <f t="shared" si="6"/>
        <v/>
      </c>
      <c r="G112" s="52"/>
      <c r="H112" s="106"/>
      <c r="I112" s="106"/>
      <c r="J112" s="106"/>
      <c r="K112" s="103"/>
      <c r="L112" s="123"/>
      <c r="M112" s="12" t="b">
        <f t="shared" si="7"/>
        <v>0</v>
      </c>
    </row>
    <row r="113" spans="2:13" ht="22.5">
      <c r="B113" s="26">
        <v>101</v>
      </c>
      <c r="C113" s="54"/>
      <c r="D113" s="46" t="str">
        <f t="shared" si="5"/>
        <v/>
      </c>
      <c r="E113" s="84"/>
      <c r="F113" s="124" t="str">
        <f t="shared" si="6"/>
        <v/>
      </c>
      <c r="G113" s="52"/>
      <c r="H113" s="106"/>
      <c r="I113" s="106"/>
      <c r="J113" s="106"/>
      <c r="K113" s="103"/>
      <c r="L113" s="123"/>
      <c r="M113" s="12" t="b">
        <f t="shared" si="7"/>
        <v>0</v>
      </c>
    </row>
    <row r="114" spans="2:13" ht="22.5">
      <c r="B114" s="26">
        <v>102</v>
      </c>
      <c r="C114" s="54"/>
      <c r="D114" s="46" t="str">
        <f t="shared" si="5"/>
        <v/>
      </c>
      <c r="E114" s="84"/>
      <c r="F114" s="124" t="str">
        <f t="shared" si="6"/>
        <v/>
      </c>
      <c r="G114" s="52"/>
      <c r="H114" s="106"/>
      <c r="I114" s="106"/>
      <c r="J114" s="106"/>
      <c r="K114" s="103"/>
      <c r="L114" s="123"/>
      <c r="M114" s="12" t="b">
        <f t="shared" si="7"/>
        <v>0</v>
      </c>
    </row>
    <row r="115" spans="2:13" ht="22.5">
      <c r="B115" s="26">
        <v>103</v>
      </c>
      <c r="C115" s="54"/>
      <c r="D115" s="46" t="str">
        <f t="shared" si="5"/>
        <v/>
      </c>
      <c r="E115" s="84"/>
      <c r="F115" s="124" t="str">
        <f t="shared" si="6"/>
        <v/>
      </c>
      <c r="G115" s="52"/>
      <c r="H115" s="106"/>
      <c r="I115" s="106"/>
      <c r="J115" s="106"/>
      <c r="K115" s="103"/>
      <c r="L115" s="123"/>
      <c r="M115" s="12" t="b">
        <f t="shared" si="7"/>
        <v>0</v>
      </c>
    </row>
    <row r="116" spans="2:13" ht="22.5">
      <c r="B116" s="26">
        <v>104</v>
      </c>
      <c r="C116" s="54"/>
      <c r="D116" s="46" t="str">
        <f t="shared" si="5"/>
        <v/>
      </c>
      <c r="E116" s="84"/>
      <c r="F116" s="124" t="str">
        <f t="shared" si="6"/>
        <v/>
      </c>
      <c r="G116" s="52"/>
      <c r="H116" s="106"/>
      <c r="I116" s="106"/>
      <c r="J116" s="106"/>
      <c r="K116" s="103"/>
      <c r="L116" s="123"/>
      <c r="M116" s="12" t="b">
        <f t="shared" si="7"/>
        <v>0</v>
      </c>
    </row>
    <row r="117" spans="2:13" ht="22.5">
      <c r="B117" s="26">
        <v>105</v>
      </c>
      <c r="C117" s="54"/>
      <c r="D117" s="46" t="str">
        <f t="shared" si="5"/>
        <v/>
      </c>
      <c r="E117" s="84"/>
      <c r="F117" s="124" t="str">
        <f t="shared" si="6"/>
        <v/>
      </c>
      <c r="G117" s="52"/>
      <c r="H117" s="106"/>
      <c r="I117" s="106"/>
      <c r="J117" s="106"/>
      <c r="K117" s="103"/>
      <c r="L117" s="123"/>
      <c r="M117" s="12" t="b">
        <f t="shared" si="7"/>
        <v>0</v>
      </c>
    </row>
    <row r="118" spans="2:13" ht="22.5">
      <c r="B118" s="26">
        <v>106</v>
      </c>
      <c r="C118" s="54"/>
      <c r="D118" s="46" t="str">
        <f t="shared" si="5"/>
        <v/>
      </c>
      <c r="E118" s="84"/>
      <c r="F118" s="124" t="str">
        <f t="shared" si="6"/>
        <v/>
      </c>
      <c r="G118" s="52"/>
      <c r="H118" s="106"/>
      <c r="I118" s="106"/>
      <c r="J118" s="106"/>
      <c r="K118" s="103"/>
      <c r="L118" s="123"/>
      <c r="M118" s="12" t="b">
        <f t="shared" si="7"/>
        <v>0</v>
      </c>
    </row>
    <row r="119" spans="2:13" ht="22.5">
      <c r="B119" s="26">
        <v>107</v>
      </c>
      <c r="C119" s="54"/>
      <c r="D119" s="46" t="str">
        <f t="shared" si="5"/>
        <v/>
      </c>
      <c r="E119" s="84"/>
      <c r="F119" s="124" t="str">
        <f t="shared" si="6"/>
        <v/>
      </c>
      <c r="G119" s="52"/>
      <c r="H119" s="106"/>
      <c r="I119" s="106"/>
      <c r="J119" s="106"/>
      <c r="K119" s="103"/>
      <c r="L119" s="123"/>
      <c r="M119" s="12" t="b">
        <f t="shared" si="7"/>
        <v>0</v>
      </c>
    </row>
    <row r="120" spans="2:13" ht="22.5">
      <c r="B120" s="26">
        <v>108</v>
      </c>
      <c r="C120" s="54"/>
      <c r="D120" s="46" t="str">
        <f t="shared" si="5"/>
        <v/>
      </c>
      <c r="E120" s="84"/>
      <c r="F120" s="124" t="str">
        <f t="shared" si="6"/>
        <v/>
      </c>
      <c r="G120" s="52"/>
      <c r="H120" s="106"/>
      <c r="I120" s="106"/>
      <c r="J120" s="106"/>
      <c r="K120" s="103"/>
      <c r="L120" s="123"/>
      <c r="M120" s="12" t="b">
        <f t="shared" si="7"/>
        <v>0</v>
      </c>
    </row>
    <row r="121" spans="2:13" ht="22.5">
      <c r="B121" s="26">
        <v>109</v>
      </c>
      <c r="C121" s="54"/>
      <c r="D121" s="46" t="str">
        <f t="shared" si="5"/>
        <v/>
      </c>
      <c r="E121" s="84"/>
      <c r="F121" s="124" t="str">
        <f t="shared" si="6"/>
        <v/>
      </c>
      <c r="G121" s="52"/>
      <c r="H121" s="106"/>
      <c r="I121" s="106"/>
      <c r="J121" s="106"/>
      <c r="K121" s="103"/>
      <c r="L121" s="123"/>
      <c r="M121" s="12" t="b">
        <f t="shared" si="7"/>
        <v>0</v>
      </c>
    </row>
    <row r="122" spans="2:13" ht="22.5">
      <c r="B122" s="26">
        <v>110</v>
      </c>
      <c r="C122" s="54"/>
      <c r="D122" s="46" t="str">
        <f t="shared" si="5"/>
        <v/>
      </c>
      <c r="E122" s="84"/>
      <c r="F122" s="124" t="str">
        <f t="shared" si="6"/>
        <v/>
      </c>
      <c r="G122" s="52"/>
      <c r="H122" s="106"/>
      <c r="I122" s="106"/>
      <c r="J122" s="106"/>
      <c r="K122" s="103"/>
      <c r="L122" s="123"/>
      <c r="M122" s="12" t="b">
        <f t="shared" si="7"/>
        <v>0</v>
      </c>
    </row>
    <row r="123" spans="2:13" ht="22.5">
      <c r="B123" s="26">
        <v>111</v>
      </c>
      <c r="C123" s="54"/>
      <c r="D123" s="46" t="str">
        <f t="shared" si="5"/>
        <v/>
      </c>
      <c r="E123" s="84"/>
      <c r="F123" s="124" t="str">
        <f t="shared" si="6"/>
        <v/>
      </c>
      <c r="G123" s="52"/>
      <c r="H123" s="106"/>
      <c r="I123" s="106"/>
      <c r="J123" s="106"/>
      <c r="K123" s="103"/>
      <c r="L123" s="123"/>
      <c r="M123" s="12" t="b">
        <f t="shared" si="7"/>
        <v>0</v>
      </c>
    </row>
    <row r="124" spans="2:13" ht="22.5">
      <c r="B124" s="26">
        <v>112</v>
      </c>
      <c r="C124" s="54"/>
      <c r="D124" s="46" t="str">
        <f t="shared" si="5"/>
        <v/>
      </c>
      <c r="E124" s="84"/>
      <c r="F124" s="124" t="str">
        <f t="shared" si="6"/>
        <v/>
      </c>
      <c r="G124" s="52"/>
      <c r="H124" s="106"/>
      <c r="I124" s="106"/>
      <c r="J124" s="106"/>
      <c r="K124" s="103"/>
      <c r="L124" s="123"/>
      <c r="M124" s="12" t="b">
        <f t="shared" si="7"/>
        <v>0</v>
      </c>
    </row>
    <row r="125" spans="2:13" ht="22.5">
      <c r="B125" s="26">
        <v>113</v>
      </c>
      <c r="C125" s="54"/>
      <c r="D125" s="46" t="str">
        <f t="shared" si="5"/>
        <v/>
      </c>
      <c r="E125" s="84"/>
      <c r="F125" s="124" t="str">
        <f t="shared" si="6"/>
        <v/>
      </c>
      <c r="G125" s="52"/>
      <c r="H125" s="106"/>
      <c r="I125" s="106"/>
      <c r="J125" s="106"/>
      <c r="K125" s="103"/>
      <c r="L125" s="123"/>
      <c r="M125" s="12" t="b">
        <f t="shared" si="7"/>
        <v>0</v>
      </c>
    </row>
    <row r="126" spans="2:13" ht="22.5">
      <c r="B126" s="26">
        <v>114</v>
      </c>
      <c r="C126" s="54"/>
      <c r="D126" s="46" t="str">
        <f t="shared" si="5"/>
        <v/>
      </c>
      <c r="E126" s="84"/>
      <c r="F126" s="124" t="str">
        <f t="shared" si="6"/>
        <v/>
      </c>
      <c r="G126" s="52"/>
      <c r="H126" s="106"/>
      <c r="I126" s="106"/>
      <c r="J126" s="106"/>
      <c r="K126" s="103"/>
      <c r="L126" s="123"/>
      <c r="M126" s="12" t="b">
        <f t="shared" si="7"/>
        <v>0</v>
      </c>
    </row>
    <row r="127" spans="2:13" ht="22.5">
      <c r="B127" s="26">
        <v>115</v>
      </c>
      <c r="C127" s="54"/>
      <c r="D127" s="46" t="str">
        <f t="shared" si="5"/>
        <v/>
      </c>
      <c r="E127" s="84"/>
      <c r="F127" s="124" t="str">
        <f t="shared" si="6"/>
        <v/>
      </c>
      <c r="G127" s="52"/>
      <c r="H127" s="106"/>
      <c r="I127" s="106"/>
      <c r="J127" s="106"/>
      <c r="K127" s="103"/>
      <c r="L127" s="123"/>
      <c r="M127" s="12" t="b">
        <f t="shared" si="7"/>
        <v>0</v>
      </c>
    </row>
    <row r="128" spans="2:13" ht="22.5">
      <c r="B128" s="26">
        <v>116</v>
      </c>
      <c r="C128" s="54"/>
      <c r="D128" s="46" t="str">
        <f t="shared" si="5"/>
        <v/>
      </c>
      <c r="E128" s="84"/>
      <c r="F128" s="124" t="str">
        <f t="shared" si="6"/>
        <v/>
      </c>
      <c r="G128" s="52"/>
      <c r="H128" s="106"/>
      <c r="I128" s="106"/>
      <c r="J128" s="106"/>
      <c r="K128" s="103"/>
      <c r="L128" s="123"/>
      <c r="M128" s="12" t="b">
        <f t="shared" si="7"/>
        <v>0</v>
      </c>
    </row>
    <row r="129" spans="2:13" ht="22.5">
      <c r="B129" s="26">
        <v>117</v>
      </c>
      <c r="C129" s="54"/>
      <c r="D129" s="46" t="str">
        <f t="shared" si="5"/>
        <v/>
      </c>
      <c r="E129" s="84"/>
      <c r="F129" s="124" t="str">
        <f t="shared" si="6"/>
        <v/>
      </c>
      <c r="G129" s="52"/>
      <c r="H129" s="106"/>
      <c r="I129" s="106"/>
      <c r="J129" s="106"/>
      <c r="K129" s="103"/>
      <c r="L129" s="123"/>
      <c r="M129" s="12" t="b">
        <f t="shared" si="7"/>
        <v>0</v>
      </c>
    </row>
    <row r="130" spans="2:13" ht="22.5">
      <c r="B130" s="26">
        <v>118</v>
      </c>
      <c r="C130" s="54"/>
      <c r="D130" s="46" t="str">
        <f t="shared" si="5"/>
        <v/>
      </c>
      <c r="E130" s="84"/>
      <c r="F130" s="124" t="str">
        <f t="shared" si="6"/>
        <v/>
      </c>
      <c r="G130" s="52"/>
      <c r="H130" s="106"/>
      <c r="I130" s="106"/>
      <c r="J130" s="106"/>
      <c r="K130" s="103"/>
      <c r="L130" s="123"/>
      <c r="M130" s="12" t="b">
        <f t="shared" si="7"/>
        <v>0</v>
      </c>
    </row>
    <row r="131" spans="2:13" ht="22.5">
      <c r="B131" s="26">
        <v>119</v>
      </c>
      <c r="C131" s="54"/>
      <c r="D131" s="46" t="str">
        <f t="shared" si="5"/>
        <v/>
      </c>
      <c r="E131" s="84"/>
      <c r="F131" s="124" t="str">
        <f t="shared" si="6"/>
        <v/>
      </c>
      <c r="G131" s="52"/>
      <c r="H131" s="106"/>
      <c r="I131" s="106"/>
      <c r="J131" s="106"/>
      <c r="K131" s="103"/>
      <c r="L131" s="123"/>
      <c r="M131" s="12" t="b">
        <f t="shared" si="7"/>
        <v>0</v>
      </c>
    </row>
    <row r="132" spans="2:13" ht="22.5">
      <c r="B132" s="26">
        <v>120</v>
      </c>
      <c r="C132" s="54"/>
      <c r="D132" s="46" t="str">
        <f t="shared" si="5"/>
        <v/>
      </c>
      <c r="E132" s="84"/>
      <c r="F132" s="124" t="str">
        <f t="shared" si="6"/>
        <v/>
      </c>
      <c r="G132" s="52"/>
      <c r="H132" s="106"/>
      <c r="I132" s="106"/>
      <c r="J132" s="106"/>
      <c r="K132" s="103"/>
      <c r="L132" s="123"/>
      <c r="M132" s="12" t="b">
        <f t="shared" si="7"/>
        <v>0</v>
      </c>
    </row>
    <row r="133" spans="2:13" ht="22.5">
      <c r="B133" s="26">
        <v>121</v>
      </c>
      <c r="C133" s="54"/>
      <c r="D133" s="46" t="str">
        <f t="shared" si="5"/>
        <v/>
      </c>
      <c r="E133" s="84"/>
      <c r="F133" s="124" t="str">
        <f t="shared" si="6"/>
        <v/>
      </c>
      <c r="G133" s="52"/>
      <c r="H133" s="106"/>
      <c r="I133" s="106"/>
      <c r="J133" s="106"/>
      <c r="K133" s="103"/>
      <c r="L133" s="123"/>
      <c r="M133" s="12" t="b">
        <f t="shared" si="7"/>
        <v>0</v>
      </c>
    </row>
    <row r="134" spans="2:13" ht="22.5">
      <c r="B134" s="26">
        <v>122</v>
      </c>
      <c r="C134" s="54"/>
      <c r="D134" s="46" t="str">
        <f t="shared" si="5"/>
        <v/>
      </c>
      <c r="E134" s="84"/>
      <c r="F134" s="124" t="str">
        <f t="shared" si="6"/>
        <v/>
      </c>
      <c r="G134" s="52"/>
      <c r="H134" s="106"/>
      <c r="I134" s="106"/>
      <c r="J134" s="106"/>
      <c r="K134" s="103"/>
      <c r="L134" s="123"/>
      <c r="M134" s="12" t="b">
        <f t="shared" si="7"/>
        <v>0</v>
      </c>
    </row>
    <row r="135" spans="2:13" ht="22.5">
      <c r="B135" s="26">
        <v>123</v>
      </c>
      <c r="C135" s="54"/>
      <c r="D135" s="46" t="str">
        <f t="shared" si="5"/>
        <v/>
      </c>
      <c r="E135" s="84"/>
      <c r="F135" s="124" t="str">
        <f t="shared" si="6"/>
        <v/>
      </c>
      <c r="G135" s="52"/>
      <c r="H135" s="106"/>
      <c r="I135" s="106"/>
      <c r="J135" s="106"/>
      <c r="K135" s="103"/>
      <c r="L135" s="123"/>
      <c r="M135" s="12" t="b">
        <f t="shared" si="7"/>
        <v>0</v>
      </c>
    </row>
    <row r="136" spans="2:13" ht="22.5">
      <c r="B136" s="26">
        <v>124</v>
      </c>
      <c r="C136" s="54"/>
      <c r="D136" s="46" t="str">
        <f t="shared" si="5"/>
        <v/>
      </c>
      <c r="E136" s="84"/>
      <c r="F136" s="124" t="str">
        <f t="shared" si="6"/>
        <v/>
      </c>
      <c r="G136" s="52"/>
      <c r="H136" s="106"/>
      <c r="I136" s="106"/>
      <c r="J136" s="106"/>
      <c r="K136" s="103"/>
      <c r="L136" s="123"/>
      <c r="M136" s="12" t="b">
        <f t="shared" si="7"/>
        <v>0</v>
      </c>
    </row>
    <row r="137" spans="2:13" ht="22.5">
      <c r="B137" s="26">
        <v>125</v>
      </c>
      <c r="C137" s="54"/>
      <c r="D137" s="46" t="str">
        <f t="shared" si="5"/>
        <v/>
      </c>
      <c r="E137" s="84"/>
      <c r="F137" s="124" t="str">
        <f t="shared" si="6"/>
        <v/>
      </c>
      <c r="G137" s="52"/>
      <c r="H137" s="106"/>
      <c r="I137" s="106"/>
      <c r="J137" s="106"/>
      <c r="K137" s="103"/>
      <c r="L137" s="123"/>
      <c r="M137" s="12" t="b">
        <f t="shared" si="7"/>
        <v>0</v>
      </c>
    </row>
    <row r="138" spans="2:13" ht="22.5">
      <c r="B138" s="26">
        <v>126</v>
      </c>
      <c r="C138" s="54"/>
      <c r="D138" s="46" t="str">
        <f t="shared" si="5"/>
        <v/>
      </c>
      <c r="E138" s="84"/>
      <c r="F138" s="124" t="str">
        <f t="shared" si="6"/>
        <v/>
      </c>
      <c r="G138" s="52"/>
      <c r="H138" s="106"/>
      <c r="I138" s="106"/>
      <c r="J138" s="106"/>
      <c r="K138" s="103"/>
      <c r="L138" s="123"/>
      <c r="M138" s="12" t="b">
        <f t="shared" si="7"/>
        <v>0</v>
      </c>
    </row>
    <row r="139" spans="2:13" ht="22.5">
      <c r="B139" s="26">
        <v>127</v>
      </c>
      <c r="C139" s="54"/>
      <c r="D139" s="46" t="str">
        <f t="shared" si="5"/>
        <v/>
      </c>
      <c r="E139" s="84"/>
      <c r="F139" s="124" t="str">
        <f t="shared" si="6"/>
        <v/>
      </c>
      <c r="G139" s="52"/>
      <c r="H139" s="106"/>
      <c r="I139" s="106"/>
      <c r="J139" s="106"/>
      <c r="K139" s="103"/>
      <c r="L139" s="123"/>
      <c r="M139" s="12" t="b">
        <f t="shared" si="7"/>
        <v>0</v>
      </c>
    </row>
    <row r="140" spans="2:13" ht="22.5">
      <c r="B140" s="26">
        <v>128</v>
      </c>
      <c r="C140" s="54"/>
      <c r="D140" s="46" t="str">
        <f t="shared" si="5"/>
        <v/>
      </c>
      <c r="E140" s="84"/>
      <c r="F140" s="124" t="str">
        <f t="shared" si="6"/>
        <v/>
      </c>
      <c r="G140" s="52"/>
      <c r="H140" s="106"/>
      <c r="I140" s="106"/>
      <c r="J140" s="106"/>
      <c r="K140" s="103"/>
      <c r="L140" s="123"/>
      <c r="M140" s="12" t="b">
        <f t="shared" si="7"/>
        <v>0</v>
      </c>
    </row>
    <row r="141" spans="2:13" ht="22.5">
      <c r="B141" s="26">
        <v>129</v>
      </c>
      <c r="C141" s="54"/>
      <c r="D141" s="46" t="str">
        <f t="shared" si="5"/>
        <v/>
      </c>
      <c r="E141" s="84"/>
      <c r="F141" s="124" t="str">
        <f t="shared" si="6"/>
        <v/>
      </c>
      <c r="G141" s="52"/>
      <c r="H141" s="106"/>
      <c r="I141" s="106"/>
      <c r="J141" s="106"/>
      <c r="K141" s="103"/>
      <c r="L141" s="123"/>
      <c r="M141" s="12" t="b">
        <f t="shared" si="7"/>
        <v>0</v>
      </c>
    </row>
    <row r="142" spans="2:13" ht="22.5">
      <c r="B142" s="26">
        <v>130</v>
      </c>
      <c r="C142" s="54"/>
      <c r="D142" s="46" t="str">
        <f t="shared" ref="D142:D205" si="8">IF(LEN(E142)=0,"",IF((AND(ISNUMBER(VALUE(E142)),LEN(E142)=12)),3,IF(AND(ISNUMBER(VALUE(E142)),(LEN(E142)=10)),1,IF(LEFT(E142)="R",IF(AND(ABS(LEN(E142)-11)=1,ISNUMBER(VALUE(RIGHT(E142,LEN(E142)-1)))),2,FALSE),FALSE))))</f>
        <v/>
      </c>
      <c r="E142" s="84"/>
      <c r="F142" s="124" t="str">
        <f t="shared" ref="F142:F205" si="9">IF(D142=FALSE,"←ご確認ください",IF(OR(D142=1,D142=2,D142=3),"形式OK",""))</f>
        <v/>
      </c>
      <c r="G142" s="52"/>
      <c r="H142" s="106"/>
      <c r="I142" s="106"/>
      <c r="J142" s="106"/>
      <c r="K142" s="103"/>
      <c r="L142" s="123"/>
      <c r="M142" s="12" t="b">
        <f t="shared" ref="M142:M205" si="10">IF(COUNTA(E142,G142)=0,FALSE,TRUE)</f>
        <v>0</v>
      </c>
    </row>
    <row r="143" spans="2:13" ht="22.5">
      <c r="B143" s="26">
        <v>131</v>
      </c>
      <c r="C143" s="54"/>
      <c r="D143" s="46" t="str">
        <f t="shared" si="8"/>
        <v/>
      </c>
      <c r="E143" s="84"/>
      <c r="F143" s="124" t="str">
        <f t="shared" si="9"/>
        <v/>
      </c>
      <c r="G143" s="52"/>
      <c r="H143" s="106"/>
      <c r="I143" s="106"/>
      <c r="J143" s="106"/>
      <c r="K143" s="103"/>
      <c r="L143" s="123"/>
      <c r="M143" s="12" t="b">
        <f t="shared" si="10"/>
        <v>0</v>
      </c>
    </row>
    <row r="144" spans="2:13" ht="22.5">
      <c r="B144" s="26">
        <v>132</v>
      </c>
      <c r="C144" s="54"/>
      <c r="D144" s="46" t="str">
        <f t="shared" si="8"/>
        <v/>
      </c>
      <c r="E144" s="84"/>
      <c r="F144" s="124" t="str">
        <f t="shared" si="9"/>
        <v/>
      </c>
      <c r="G144" s="52"/>
      <c r="H144" s="106"/>
      <c r="I144" s="106"/>
      <c r="J144" s="106"/>
      <c r="K144" s="103"/>
      <c r="L144" s="123"/>
      <c r="M144" s="12" t="b">
        <f t="shared" si="10"/>
        <v>0</v>
      </c>
    </row>
    <row r="145" spans="2:13" ht="22.5">
      <c r="B145" s="26">
        <v>133</v>
      </c>
      <c r="C145" s="54"/>
      <c r="D145" s="46" t="str">
        <f t="shared" si="8"/>
        <v/>
      </c>
      <c r="E145" s="84"/>
      <c r="F145" s="124" t="str">
        <f t="shared" si="9"/>
        <v/>
      </c>
      <c r="G145" s="52"/>
      <c r="H145" s="106"/>
      <c r="I145" s="106"/>
      <c r="J145" s="106"/>
      <c r="K145" s="103"/>
      <c r="L145" s="123"/>
      <c r="M145" s="12" t="b">
        <f t="shared" si="10"/>
        <v>0</v>
      </c>
    </row>
    <row r="146" spans="2:13" ht="22.5">
      <c r="B146" s="26">
        <v>134</v>
      </c>
      <c r="C146" s="54"/>
      <c r="D146" s="46" t="str">
        <f t="shared" si="8"/>
        <v/>
      </c>
      <c r="E146" s="84"/>
      <c r="F146" s="124" t="str">
        <f t="shared" si="9"/>
        <v/>
      </c>
      <c r="G146" s="52"/>
      <c r="H146" s="106"/>
      <c r="I146" s="106"/>
      <c r="J146" s="106"/>
      <c r="K146" s="103"/>
      <c r="L146" s="123"/>
      <c r="M146" s="12" t="b">
        <f t="shared" si="10"/>
        <v>0</v>
      </c>
    </row>
    <row r="147" spans="2:13" ht="22.5">
      <c r="B147" s="26">
        <v>135</v>
      </c>
      <c r="C147" s="54"/>
      <c r="D147" s="46" t="str">
        <f t="shared" si="8"/>
        <v/>
      </c>
      <c r="E147" s="84"/>
      <c r="F147" s="124" t="str">
        <f t="shared" si="9"/>
        <v/>
      </c>
      <c r="G147" s="52"/>
      <c r="H147" s="106"/>
      <c r="I147" s="106"/>
      <c r="J147" s="106"/>
      <c r="K147" s="103"/>
      <c r="L147" s="123"/>
      <c r="M147" s="12" t="b">
        <f t="shared" si="10"/>
        <v>0</v>
      </c>
    </row>
    <row r="148" spans="2:13" ht="22.5">
      <c r="B148" s="26">
        <v>136</v>
      </c>
      <c r="C148" s="54"/>
      <c r="D148" s="46" t="str">
        <f t="shared" si="8"/>
        <v/>
      </c>
      <c r="E148" s="84"/>
      <c r="F148" s="124" t="str">
        <f t="shared" si="9"/>
        <v/>
      </c>
      <c r="G148" s="52"/>
      <c r="H148" s="106"/>
      <c r="I148" s="106"/>
      <c r="J148" s="106"/>
      <c r="K148" s="103"/>
      <c r="L148" s="123"/>
      <c r="M148" s="12" t="b">
        <f t="shared" si="10"/>
        <v>0</v>
      </c>
    </row>
    <row r="149" spans="2:13" ht="22.5">
      <c r="B149" s="26">
        <v>137</v>
      </c>
      <c r="C149" s="54"/>
      <c r="D149" s="46" t="str">
        <f t="shared" si="8"/>
        <v/>
      </c>
      <c r="E149" s="84"/>
      <c r="F149" s="124" t="str">
        <f t="shared" si="9"/>
        <v/>
      </c>
      <c r="G149" s="52"/>
      <c r="H149" s="106"/>
      <c r="I149" s="106"/>
      <c r="J149" s="106"/>
      <c r="K149" s="103"/>
      <c r="L149" s="123"/>
      <c r="M149" s="12" t="b">
        <f t="shared" si="10"/>
        <v>0</v>
      </c>
    </row>
    <row r="150" spans="2:13" ht="22.5">
      <c r="B150" s="26">
        <v>138</v>
      </c>
      <c r="C150" s="54"/>
      <c r="D150" s="46" t="str">
        <f t="shared" si="8"/>
        <v/>
      </c>
      <c r="E150" s="84"/>
      <c r="F150" s="124" t="str">
        <f t="shared" si="9"/>
        <v/>
      </c>
      <c r="G150" s="52"/>
      <c r="H150" s="106"/>
      <c r="I150" s="106"/>
      <c r="J150" s="106"/>
      <c r="K150" s="103"/>
      <c r="L150" s="123"/>
      <c r="M150" s="12" t="b">
        <f t="shared" si="10"/>
        <v>0</v>
      </c>
    </row>
    <row r="151" spans="2:13" ht="22.5">
      <c r="B151" s="26">
        <v>139</v>
      </c>
      <c r="C151" s="54"/>
      <c r="D151" s="46" t="str">
        <f t="shared" si="8"/>
        <v/>
      </c>
      <c r="E151" s="84"/>
      <c r="F151" s="124" t="str">
        <f t="shared" si="9"/>
        <v/>
      </c>
      <c r="G151" s="52"/>
      <c r="H151" s="106"/>
      <c r="I151" s="106"/>
      <c r="J151" s="106"/>
      <c r="K151" s="103"/>
      <c r="L151" s="123"/>
      <c r="M151" s="12" t="b">
        <f t="shared" si="10"/>
        <v>0</v>
      </c>
    </row>
    <row r="152" spans="2:13" ht="22.5">
      <c r="B152" s="26">
        <v>140</v>
      </c>
      <c r="C152" s="54"/>
      <c r="D152" s="46" t="str">
        <f t="shared" si="8"/>
        <v/>
      </c>
      <c r="E152" s="84"/>
      <c r="F152" s="124" t="str">
        <f t="shared" si="9"/>
        <v/>
      </c>
      <c r="G152" s="52"/>
      <c r="H152" s="106"/>
      <c r="I152" s="106"/>
      <c r="J152" s="106"/>
      <c r="K152" s="103"/>
      <c r="L152" s="123"/>
      <c r="M152" s="12" t="b">
        <f t="shared" si="10"/>
        <v>0</v>
      </c>
    </row>
    <row r="153" spans="2:13" ht="22.5">
      <c r="B153" s="26">
        <v>141</v>
      </c>
      <c r="C153" s="54"/>
      <c r="D153" s="46" t="str">
        <f t="shared" si="8"/>
        <v/>
      </c>
      <c r="E153" s="84"/>
      <c r="F153" s="124" t="str">
        <f t="shared" si="9"/>
        <v/>
      </c>
      <c r="G153" s="52"/>
      <c r="H153" s="106"/>
      <c r="I153" s="106"/>
      <c r="J153" s="106"/>
      <c r="K153" s="103"/>
      <c r="L153" s="123"/>
      <c r="M153" s="12" t="b">
        <f t="shared" si="10"/>
        <v>0</v>
      </c>
    </row>
    <row r="154" spans="2:13" ht="22.5">
      <c r="B154" s="26">
        <v>142</v>
      </c>
      <c r="C154" s="54"/>
      <c r="D154" s="46" t="str">
        <f t="shared" si="8"/>
        <v/>
      </c>
      <c r="E154" s="84"/>
      <c r="F154" s="124" t="str">
        <f t="shared" si="9"/>
        <v/>
      </c>
      <c r="G154" s="52"/>
      <c r="H154" s="106"/>
      <c r="I154" s="106"/>
      <c r="J154" s="106"/>
      <c r="K154" s="103"/>
      <c r="L154" s="123"/>
      <c r="M154" s="12" t="b">
        <f t="shared" si="10"/>
        <v>0</v>
      </c>
    </row>
    <row r="155" spans="2:13" ht="22.5">
      <c r="B155" s="26">
        <v>143</v>
      </c>
      <c r="C155" s="54"/>
      <c r="D155" s="46" t="str">
        <f t="shared" si="8"/>
        <v/>
      </c>
      <c r="E155" s="84"/>
      <c r="F155" s="124" t="str">
        <f t="shared" si="9"/>
        <v/>
      </c>
      <c r="G155" s="52"/>
      <c r="H155" s="106"/>
      <c r="I155" s="106"/>
      <c r="J155" s="106"/>
      <c r="K155" s="103"/>
      <c r="L155" s="123"/>
      <c r="M155" s="12" t="b">
        <f t="shared" si="10"/>
        <v>0</v>
      </c>
    </row>
    <row r="156" spans="2:13" ht="22.5">
      <c r="B156" s="26">
        <v>144</v>
      </c>
      <c r="C156" s="54"/>
      <c r="D156" s="46" t="str">
        <f t="shared" si="8"/>
        <v/>
      </c>
      <c r="E156" s="84"/>
      <c r="F156" s="124" t="str">
        <f t="shared" si="9"/>
        <v/>
      </c>
      <c r="G156" s="52"/>
      <c r="H156" s="106"/>
      <c r="I156" s="106"/>
      <c r="J156" s="106"/>
      <c r="K156" s="103"/>
      <c r="L156" s="123"/>
      <c r="M156" s="12" t="b">
        <f t="shared" si="10"/>
        <v>0</v>
      </c>
    </row>
    <row r="157" spans="2:13" ht="22.5">
      <c r="B157" s="26">
        <v>145</v>
      </c>
      <c r="C157" s="54"/>
      <c r="D157" s="46" t="str">
        <f t="shared" si="8"/>
        <v/>
      </c>
      <c r="E157" s="84"/>
      <c r="F157" s="124" t="str">
        <f t="shared" si="9"/>
        <v/>
      </c>
      <c r="G157" s="52"/>
      <c r="H157" s="106"/>
      <c r="I157" s="106"/>
      <c r="J157" s="106"/>
      <c r="K157" s="103"/>
      <c r="L157" s="123"/>
      <c r="M157" s="12" t="b">
        <f t="shared" si="10"/>
        <v>0</v>
      </c>
    </row>
    <row r="158" spans="2:13" ht="22.5">
      <c r="B158" s="26">
        <v>146</v>
      </c>
      <c r="C158" s="54"/>
      <c r="D158" s="46" t="str">
        <f t="shared" si="8"/>
        <v/>
      </c>
      <c r="E158" s="84"/>
      <c r="F158" s="124" t="str">
        <f t="shared" si="9"/>
        <v/>
      </c>
      <c r="G158" s="52"/>
      <c r="H158" s="106"/>
      <c r="I158" s="106"/>
      <c r="J158" s="106"/>
      <c r="K158" s="103"/>
      <c r="L158" s="123"/>
      <c r="M158" s="12" t="b">
        <f t="shared" si="10"/>
        <v>0</v>
      </c>
    </row>
    <row r="159" spans="2:13" ht="22.5">
      <c r="B159" s="26">
        <v>147</v>
      </c>
      <c r="C159" s="54"/>
      <c r="D159" s="46" t="str">
        <f t="shared" si="8"/>
        <v/>
      </c>
      <c r="E159" s="84"/>
      <c r="F159" s="124" t="str">
        <f t="shared" si="9"/>
        <v/>
      </c>
      <c r="G159" s="52"/>
      <c r="H159" s="106"/>
      <c r="I159" s="106"/>
      <c r="J159" s="106"/>
      <c r="K159" s="103"/>
      <c r="L159" s="123"/>
      <c r="M159" s="12" t="b">
        <f t="shared" si="10"/>
        <v>0</v>
      </c>
    </row>
    <row r="160" spans="2:13" ht="22.5">
      <c r="B160" s="26">
        <v>148</v>
      </c>
      <c r="C160" s="54"/>
      <c r="D160" s="46" t="str">
        <f t="shared" si="8"/>
        <v/>
      </c>
      <c r="E160" s="84"/>
      <c r="F160" s="124" t="str">
        <f t="shared" si="9"/>
        <v/>
      </c>
      <c r="G160" s="52"/>
      <c r="H160" s="106"/>
      <c r="I160" s="106"/>
      <c r="J160" s="106"/>
      <c r="K160" s="103"/>
      <c r="L160" s="123"/>
      <c r="M160" s="12" t="b">
        <f t="shared" si="10"/>
        <v>0</v>
      </c>
    </row>
    <row r="161" spans="2:13" ht="22.5">
      <c r="B161" s="26">
        <v>149</v>
      </c>
      <c r="C161" s="54"/>
      <c r="D161" s="46" t="str">
        <f t="shared" si="8"/>
        <v/>
      </c>
      <c r="E161" s="84"/>
      <c r="F161" s="124" t="str">
        <f t="shared" si="9"/>
        <v/>
      </c>
      <c r="G161" s="52"/>
      <c r="H161" s="106"/>
      <c r="I161" s="106"/>
      <c r="J161" s="106"/>
      <c r="K161" s="103"/>
      <c r="L161" s="123"/>
      <c r="M161" s="12" t="b">
        <f t="shared" si="10"/>
        <v>0</v>
      </c>
    </row>
    <row r="162" spans="2:13" ht="22.5">
      <c r="B162" s="26">
        <v>150</v>
      </c>
      <c r="C162" s="54"/>
      <c r="D162" s="46" t="str">
        <f t="shared" si="8"/>
        <v/>
      </c>
      <c r="E162" s="84"/>
      <c r="F162" s="124" t="str">
        <f t="shared" si="9"/>
        <v/>
      </c>
      <c r="G162" s="52"/>
      <c r="H162" s="106"/>
      <c r="I162" s="106"/>
      <c r="J162" s="106"/>
      <c r="K162" s="103"/>
      <c r="L162" s="123"/>
      <c r="M162" s="12" t="b">
        <f t="shared" si="10"/>
        <v>0</v>
      </c>
    </row>
    <row r="163" spans="2:13" ht="22.5">
      <c r="B163" s="26">
        <v>151</v>
      </c>
      <c r="C163" s="54"/>
      <c r="D163" s="46" t="str">
        <f t="shared" si="8"/>
        <v/>
      </c>
      <c r="E163" s="84"/>
      <c r="F163" s="124" t="str">
        <f t="shared" si="9"/>
        <v/>
      </c>
      <c r="G163" s="52"/>
      <c r="H163" s="106"/>
      <c r="I163" s="106"/>
      <c r="J163" s="106"/>
      <c r="K163" s="103"/>
      <c r="L163" s="123"/>
      <c r="M163" s="12" t="b">
        <f t="shared" si="10"/>
        <v>0</v>
      </c>
    </row>
    <row r="164" spans="2:13" ht="22.5">
      <c r="B164" s="26">
        <v>152</v>
      </c>
      <c r="C164" s="54"/>
      <c r="D164" s="46" t="str">
        <f t="shared" si="8"/>
        <v/>
      </c>
      <c r="E164" s="84"/>
      <c r="F164" s="124" t="str">
        <f t="shared" si="9"/>
        <v/>
      </c>
      <c r="G164" s="52"/>
      <c r="H164" s="106"/>
      <c r="I164" s="106"/>
      <c r="J164" s="106"/>
      <c r="K164" s="103"/>
      <c r="L164" s="123"/>
      <c r="M164" s="12" t="b">
        <f t="shared" si="10"/>
        <v>0</v>
      </c>
    </row>
    <row r="165" spans="2:13" ht="22.5">
      <c r="B165" s="26">
        <v>153</v>
      </c>
      <c r="C165" s="54"/>
      <c r="D165" s="46" t="str">
        <f t="shared" si="8"/>
        <v/>
      </c>
      <c r="E165" s="84"/>
      <c r="F165" s="124" t="str">
        <f t="shared" si="9"/>
        <v/>
      </c>
      <c r="G165" s="52"/>
      <c r="H165" s="106"/>
      <c r="I165" s="106"/>
      <c r="J165" s="106"/>
      <c r="K165" s="103"/>
      <c r="L165" s="123"/>
      <c r="M165" s="12" t="b">
        <f t="shared" si="10"/>
        <v>0</v>
      </c>
    </row>
    <row r="166" spans="2:13" ht="22.5">
      <c r="B166" s="26">
        <v>154</v>
      </c>
      <c r="C166" s="54"/>
      <c r="D166" s="46" t="str">
        <f t="shared" si="8"/>
        <v/>
      </c>
      <c r="E166" s="84"/>
      <c r="F166" s="124" t="str">
        <f t="shared" si="9"/>
        <v/>
      </c>
      <c r="G166" s="52"/>
      <c r="H166" s="106"/>
      <c r="I166" s="106"/>
      <c r="J166" s="106"/>
      <c r="K166" s="103"/>
      <c r="L166" s="123"/>
      <c r="M166" s="12" t="b">
        <f t="shared" si="10"/>
        <v>0</v>
      </c>
    </row>
    <row r="167" spans="2:13" ht="22.5">
      <c r="B167" s="26">
        <v>155</v>
      </c>
      <c r="C167" s="54"/>
      <c r="D167" s="46" t="str">
        <f t="shared" si="8"/>
        <v/>
      </c>
      <c r="E167" s="84"/>
      <c r="F167" s="124" t="str">
        <f t="shared" si="9"/>
        <v/>
      </c>
      <c r="G167" s="52"/>
      <c r="H167" s="106"/>
      <c r="I167" s="106"/>
      <c r="J167" s="106"/>
      <c r="K167" s="103"/>
      <c r="L167" s="123"/>
      <c r="M167" s="12" t="b">
        <f t="shared" si="10"/>
        <v>0</v>
      </c>
    </row>
    <row r="168" spans="2:13" ht="22.5">
      <c r="B168" s="26">
        <v>156</v>
      </c>
      <c r="C168" s="54"/>
      <c r="D168" s="46" t="str">
        <f t="shared" si="8"/>
        <v/>
      </c>
      <c r="E168" s="84"/>
      <c r="F168" s="124" t="str">
        <f t="shared" si="9"/>
        <v/>
      </c>
      <c r="G168" s="52"/>
      <c r="H168" s="106"/>
      <c r="I168" s="106"/>
      <c r="J168" s="106"/>
      <c r="K168" s="103"/>
      <c r="L168" s="123"/>
      <c r="M168" s="12" t="b">
        <f t="shared" si="10"/>
        <v>0</v>
      </c>
    </row>
    <row r="169" spans="2:13" ht="22.5">
      <c r="B169" s="26">
        <v>157</v>
      </c>
      <c r="C169" s="54"/>
      <c r="D169" s="46" t="str">
        <f t="shared" si="8"/>
        <v/>
      </c>
      <c r="E169" s="84"/>
      <c r="F169" s="124" t="str">
        <f t="shared" si="9"/>
        <v/>
      </c>
      <c r="G169" s="52"/>
      <c r="H169" s="106"/>
      <c r="I169" s="106"/>
      <c r="J169" s="106"/>
      <c r="K169" s="103"/>
      <c r="L169" s="123"/>
      <c r="M169" s="12" t="b">
        <f t="shared" si="10"/>
        <v>0</v>
      </c>
    </row>
    <row r="170" spans="2:13" ht="22.5">
      <c r="B170" s="26">
        <v>158</v>
      </c>
      <c r="C170" s="54"/>
      <c r="D170" s="46" t="str">
        <f t="shared" si="8"/>
        <v/>
      </c>
      <c r="E170" s="84"/>
      <c r="F170" s="124" t="str">
        <f t="shared" si="9"/>
        <v/>
      </c>
      <c r="G170" s="52"/>
      <c r="H170" s="106"/>
      <c r="I170" s="106"/>
      <c r="J170" s="106"/>
      <c r="K170" s="103"/>
      <c r="L170" s="123"/>
      <c r="M170" s="12" t="b">
        <f t="shared" si="10"/>
        <v>0</v>
      </c>
    </row>
    <row r="171" spans="2:13" ht="22.5">
      <c r="B171" s="26">
        <v>159</v>
      </c>
      <c r="C171" s="54"/>
      <c r="D171" s="46" t="str">
        <f t="shared" si="8"/>
        <v/>
      </c>
      <c r="E171" s="84"/>
      <c r="F171" s="124" t="str">
        <f t="shared" si="9"/>
        <v/>
      </c>
      <c r="G171" s="52"/>
      <c r="H171" s="106"/>
      <c r="I171" s="106"/>
      <c r="J171" s="106"/>
      <c r="K171" s="103"/>
      <c r="L171" s="123"/>
      <c r="M171" s="12" t="b">
        <f t="shared" si="10"/>
        <v>0</v>
      </c>
    </row>
    <row r="172" spans="2:13" ht="22.5">
      <c r="B172" s="26">
        <v>160</v>
      </c>
      <c r="C172" s="54"/>
      <c r="D172" s="46" t="str">
        <f t="shared" si="8"/>
        <v/>
      </c>
      <c r="E172" s="84"/>
      <c r="F172" s="124" t="str">
        <f t="shared" si="9"/>
        <v/>
      </c>
      <c r="G172" s="52"/>
      <c r="H172" s="106"/>
      <c r="I172" s="106"/>
      <c r="J172" s="106"/>
      <c r="K172" s="103"/>
      <c r="L172" s="123"/>
      <c r="M172" s="12" t="b">
        <f t="shared" si="10"/>
        <v>0</v>
      </c>
    </row>
    <row r="173" spans="2:13" ht="22.5">
      <c r="B173" s="26">
        <v>161</v>
      </c>
      <c r="C173" s="54"/>
      <c r="D173" s="46" t="str">
        <f t="shared" si="8"/>
        <v/>
      </c>
      <c r="E173" s="84"/>
      <c r="F173" s="124" t="str">
        <f t="shared" si="9"/>
        <v/>
      </c>
      <c r="G173" s="52"/>
      <c r="H173" s="106"/>
      <c r="I173" s="106"/>
      <c r="J173" s="106"/>
      <c r="K173" s="103"/>
      <c r="L173" s="123"/>
      <c r="M173" s="12" t="b">
        <f t="shared" si="10"/>
        <v>0</v>
      </c>
    </row>
    <row r="174" spans="2:13" ht="22.5">
      <c r="B174" s="26">
        <v>162</v>
      </c>
      <c r="C174" s="54"/>
      <c r="D174" s="46" t="str">
        <f t="shared" si="8"/>
        <v/>
      </c>
      <c r="E174" s="84"/>
      <c r="F174" s="124" t="str">
        <f t="shared" si="9"/>
        <v/>
      </c>
      <c r="G174" s="52"/>
      <c r="H174" s="106"/>
      <c r="I174" s="106"/>
      <c r="J174" s="106"/>
      <c r="K174" s="103"/>
      <c r="L174" s="123"/>
      <c r="M174" s="12" t="b">
        <f t="shared" si="10"/>
        <v>0</v>
      </c>
    </row>
    <row r="175" spans="2:13" ht="22.5">
      <c r="B175" s="26">
        <v>163</v>
      </c>
      <c r="C175" s="54"/>
      <c r="D175" s="46" t="str">
        <f t="shared" si="8"/>
        <v/>
      </c>
      <c r="E175" s="84"/>
      <c r="F175" s="124" t="str">
        <f t="shared" si="9"/>
        <v/>
      </c>
      <c r="G175" s="52"/>
      <c r="H175" s="106"/>
      <c r="I175" s="106"/>
      <c r="J175" s="106"/>
      <c r="K175" s="103"/>
      <c r="L175" s="123"/>
      <c r="M175" s="12" t="b">
        <f t="shared" si="10"/>
        <v>0</v>
      </c>
    </row>
    <row r="176" spans="2:13" ht="22.5">
      <c r="B176" s="26">
        <v>164</v>
      </c>
      <c r="C176" s="54"/>
      <c r="D176" s="46" t="str">
        <f t="shared" si="8"/>
        <v/>
      </c>
      <c r="E176" s="84"/>
      <c r="F176" s="124" t="str">
        <f t="shared" si="9"/>
        <v/>
      </c>
      <c r="G176" s="52"/>
      <c r="H176" s="106"/>
      <c r="I176" s="106"/>
      <c r="J176" s="106"/>
      <c r="K176" s="103"/>
      <c r="L176" s="123"/>
      <c r="M176" s="12" t="b">
        <f t="shared" si="10"/>
        <v>0</v>
      </c>
    </row>
    <row r="177" spans="2:13" ht="22.5">
      <c r="B177" s="26">
        <v>165</v>
      </c>
      <c r="C177" s="54"/>
      <c r="D177" s="46" t="str">
        <f t="shared" si="8"/>
        <v/>
      </c>
      <c r="E177" s="84"/>
      <c r="F177" s="124" t="str">
        <f t="shared" si="9"/>
        <v/>
      </c>
      <c r="G177" s="52"/>
      <c r="H177" s="106"/>
      <c r="I177" s="106"/>
      <c r="J177" s="106"/>
      <c r="K177" s="103"/>
      <c r="L177" s="123"/>
      <c r="M177" s="12" t="b">
        <f t="shared" si="10"/>
        <v>0</v>
      </c>
    </row>
    <row r="178" spans="2:13" ht="22.5">
      <c r="B178" s="26">
        <v>166</v>
      </c>
      <c r="C178" s="54"/>
      <c r="D178" s="46" t="str">
        <f t="shared" si="8"/>
        <v/>
      </c>
      <c r="E178" s="84"/>
      <c r="F178" s="124" t="str">
        <f t="shared" si="9"/>
        <v/>
      </c>
      <c r="G178" s="52"/>
      <c r="H178" s="106"/>
      <c r="I178" s="106"/>
      <c r="J178" s="106"/>
      <c r="K178" s="103"/>
      <c r="L178" s="123"/>
      <c r="M178" s="12" t="b">
        <f t="shared" si="10"/>
        <v>0</v>
      </c>
    </row>
    <row r="179" spans="2:13" ht="22.5">
      <c r="B179" s="26">
        <v>167</v>
      </c>
      <c r="C179" s="54"/>
      <c r="D179" s="46" t="str">
        <f t="shared" si="8"/>
        <v/>
      </c>
      <c r="E179" s="84"/>
      <c r="F179" s="124" t="str">
        <f t="shared" si="9"/>
        <v/>
      </c>
      <c r="G179" s="52"/>
      <c r="H179" s="106"/>
      <c r="I179" s="106"/>
      <c r="J179" s="106"/>
      <c r="K179" s="103"/>
      <c r="L179" s="123"/>
      <c r="M179" s="12" t="b">
        <f t="shared" si="10"/>
        <v>0</v>
      </c>
    </row>
    <row r="180" spans="2:13" ht="22.5">
      <c r="B180" s="26">
        <v>168</v>
      </c>
      <c r="C180" s="54"/>
      <c r="D180" s="46" t="str">
        <f t="shared" si="8"/>
        <v/>
      </c>
      <c r="E180" s="84"/>
      <c r="F180" s="124" t="str">
        <f t="shared" si="9"/>
        <v/>
      </c>
      <c r="G180" s="52"/>
      <c r="H180" s="106"/>
      <c r="I180" s="106"/>
      <c r="J180" s="106"/>
      <c r="K180" s="103"/>
      <c r="L180" s="123"/>
      <c r="M180" s="12" t="b">
        <f t="shared" si="10"/>
        <v>0</v>
      </c>
    </row>
    <row r="181" spans="2:13" ht="22.5">
      <c r="B181" s="26">
        <v>169</v>
      </c>
      <c r="C181" s="54"/>
      <c r="D181" s="46" t="str">
        <f t="shared" si="8"/>
        <v/>
      </c>
      <c r="E181" s="84"/>
      <c r="F181" s="124" t="str">
        <f t="shared" si="9"/>
        <v/>
      </c>
      <c r="G181" s="52"/>
      <c r="H181" s="106"/>
      <c r="I181" s="106"/>
      <c r="J181" s="106"/>
      <c r="K181" s="103"/>
      <c r="L181" s="123"/>
      <c r="M181" s="12" t="b">
        <f t="shared" si="10"/>
        <v>0</v>
      </c>
    </row>
    <row r="182" spans="2:13" ht="22.5">
      <c r="B182" s="26">
        <v>170</v>
      </c>
      <c r="C182" s="54"/>
      <c r="D182" s="46" t="str">
        <f t="shared" si="8"/>
        <v/>
      </c>
      <c r="E182" s="84"/>
      <c r="F182" s="124" t="str">
        <f t="shared" si="9"/>
        <v/>
      </c>
      <c r="G182" s="52"/>
      <c r="H182" s="106"/>
      <c r="I182" s="106"/>
      <c r="J182" s="106"/>
      <c r="K182" s="103"/>
      <c r="L182" s="123"/>
      <c r="M182" s="12" t="b">
        <f t="shared" si="10"/>
        <v>0</v>
      </c>
    </row>
    <row r="183" spans="2:13" ht="22.5">
      <c r="B183" s="26">
        <v>171</v>
      </c>
      <c r="C183" s="54"/>
      <c r="D183" s="46" t="str">
        <f t="shared" si="8"/>
        <v/>
      </c>
      <c r="E183" s="84"/>
      <c r="F183" s="124" t="str">
        <f t="shared" si="9"/>
        <v/>
      </c>
      <c r="G183" s="52"/>
      <c r="H183" s="106"/>
      <c r="I183" s="106"/>
      <c r="J183" s="106"/>
      <c r="K183" s="103"/>
      <c r="L183" s="123"/>
      <c r="M183" s="12" t="b">
        <f t="shared" si="10"/>
        <v>0</v>
      </c>
    </row>
    <row r="184" spans="2:13" ht="22.5">
      <c r="B184" s="26">
        <v>172</v>
      </c>
      <c r="C184" s="54"/>
      <c r="D184" s="46" t="str">
        <f t="shared" si="8"/>
        <v/>
      </c>
      <c r="E184" s="84"/>
      <c r="F184" s="124" t="str">
        <f t="shared" si="9"/>
        <v/>
      </c>
      <c r="G184" s="52"/>
      <c r="H184" s="106"/>
      <c r="I184" s="106"/>
      <c r="J184" s="106"/>
      <c r="K184" s="103"/>
      <c r="L184" s="123"/>
      <c r="M184" s="12" t="b">
        <f t="shared" si="10"/>
        <v>0</v>
      </c>
    </row>
    <row r="185" spans="2:13" ht="22.5">
      <c r="B185" s="26">
        <v>173</v>
      </c>
      <c r="C185" s="54"/>
      <c r="D185" s="46" t="str">
        <f t="shared" si="8"/>
        <v/>
      </c>
      <c r="E185" s="84"/>
      <c r="F185" s="124" t="str">
        <f t="shared" si="9"/>
        <v/>
      </c>
      <c r="G185" s="52"/>
      <c r="H185" s="106"/>
      <c r="I185" s="106"/>
      <c r="J185" s="106"/>
      <c r="K185" s="103"/>
      <c r="L185" s="123"/>
      <c r="M185" s="12" t="b">
        <f t="shared" si="10"/>
        <v>0</v>
      </c>
    </row>
    <row r="186" spans="2:13" ht="22.5">
      <c r="B186" s="26">
        <v>174</v>
      </c>
      <c r="C186" s="54"/>
      <c r="D186" s="46" t="str">
        <f t="shared" si="8"/>
        <v/>
      </c>
      <c r="E186" s="84"/>
      <c r="F186" s="124" t="str">
        <f t="shared" si="9"/>
        <v/>
      </c>
      <c r="G186" s="52"/>
      <c r="H186" s="106"/>
      <c r="I186" s="106"/>
      <c r="J186" s="106"/>
      <c r="K186" s="103"/>
      <c r="L186" s="123"/>
      <c r="M186" s="12" t="b">
        <f t="shared" si="10"/>
        <v>0</v>
      </c>
    </row>
    <row r="187" spans="2:13" ht="22.5">
      <c r="B187" s="26">
        <v>175</v>
      </c>
      <c r="C187" s="54"/>
      <c r="D187" s="46" t="str">
        <f t="shared" si="8"/>
        <v/>
      </c>
      <c r="E187" s="84"/>
      <c r="F187" s="124" t="str">
        <f t="shared" si="9"/>
        <v/>
      </c>
      <c r="G187" s="52"/>
      <c r="H187" s="106"/>
      <c r="I187" s="106"/>
      <c r="J187" s="106"/>
      <c r="K187" s="103"/>
      <c r="L187" s="123"/>
      <c r="M187" s="12" t="b">
        <f t="shared" si="10"/>
        <v>0</v>
      </c>
    </row>
    <row r="188" spans="2:13" ht="22.5">
      <c r="B188" s="26">
        <v>176</v>
      </c>
      <c r="C188" s="54"/>
      <c r="D188" s="46" t="str">
        <f t="shared" si="8"/>
        <v/>
      </c>
      <c r="E188" s="84"/>
      <c r="F188" s="124" t="str">
        <f t="shared" si="9"/>
        <v/>
      </c>
      <c r="G188" s="52"/>
      <c r="H188" s="106"/>
      <c r="I188" s="106"/>
      <c r="J188" s="106"/>
      <c r="K188" s="103"/>
      <c r="L188" s="123"/>
      <c r="M188" s="12" t="b">
        <f t="shared" si="10"/>
        <v>0</v>
      </c>
    </row>
    <row r="189" spans="2:13" ht="22.5">
      <c r="B189" s="26">
        <v>177</v>
      </c>
      <c r="C189" s="54"/>
      <c r="D189" s="46" t="str">
        <f t="shared" si="8"/>
        <v/>
      </c>
      <c r="E189" s="84"/>
      <c r="F189" s="124" t="str">
        <f t="shared" si="9"/>
        <v/>
      </c>
      <c r="G189" s="52"/>
      <c r="H189" s="106"/>
      <c r="I189" s="106"/>
      <c r="J189" s="106"/>
      <c r="K189" s="103"/>
      <c r="L189" s="123"/>
      <c r="M189" s="12" t="b">
        <f t="shared" si="10"/>
        <v>0</v>
      </c>
    </row>
    <row r="190" spans="2:13" ht="22.5">
      <c r="B190" s="26">
        <v>178</v>
      </c>
      <c r="C190" s="54"/>
      <c r="D190" s="46" t="str">
        <f t="shared" si="8"/>
        <v/>
      </c>
      <c r="E190" s="84"/>
      <c r="F190" s="124" t="str">
        <f t="shared" si="9"/>
        <v/>
      </c>
      <c r="G190" s="52"/>
      <c r="H190" s="106"/>
      <c r="I190" s="106"/>
      <c r="J190" s="106"/>
      <c r="K190" s="103"/>
      <c r="L190" s="123"/>
      <c r="M190" s="12" t="b">
        <f t="shared" si="10"/>
        <v>0</v>
      </c>
    </row>
    <row r="191" spans="2:13" ht="22.5">
      <c r="B191" s="26">
        <v>179</v>
      </c>
      <c r="C191" s="54"/>
      <c r="D191" s="46" t="str">
        <f t="shared" si="8"/>
        <v/>
      </c>
      <c r="E191" s="84"/>
      <c r="F191" s="124" t="str">
        <f t="shared" si="9"/>
        <v/>
      </c>
      <c r="G191" s="52"/>
      <c r="H191" s="106"/>
      <c r="I191" s="106"/>
      <c r="J191" s="106"/>
      <c r="K191" s="103"/>
      <c r="L191" s="123"/>
      <c r="M191" s="12" t="b">
        <f t="shared" si="10"/>
        <v>0</v>
      </c>
    </row>
    <row r="192" spans="2:13" ht="22.5">
      <c r="B192" s="26">
        <v>180</v>
      </c>
      <c r="C192" s="54"/>
      <c r="D192" s="46" t="str">
        <f t="shared" si="8"/>
        <v/>
      </c>
      <c r="E192" s="84"/>
      <c r="F192" s="124" t="str">
        <f t="shared" si="9"/>
        <v/>
      </c>
      <c r="G192" s="52"/>
      <c r="H192" s="106"/>
      <c r="I192" s="106"/>
      <c r="J192" s="106"/>
      <c r="K192" s="103"/>
      <c r="L192" s="123"/>
      <c r="M192" s="12" t="b">
        <f t="shared" si="10"/>
        <v>0</v>
      </c>
    </row>
    <row r="193" spans="2:13" ht="22.5">
      <c r="B193" s="26">
        <v>181</v>
      </c>
      <c r="C193" s="54"/>
      <c r="D193" s="46" t="str">
        <f t="shared" si="8"/>
        <v/>
      </c>
      <c r="E193" s="84"/>
      <c r="F193" s="124" t="str">
        <f t="shared" si="9"/>
        <v/>
      </c>
      <c r="G193" s="52"/>
      <c r="H193" s="106"/>
      <c r="I193" s="106"/>
      <c r="J193" s="106"/>
      <c r="K193" s="103"/>
      <c r="L193" s="123"/>
      <c r="M193" s="12" t="b">
        <f t="shared" si="10"/>
        <v>0</v>
      </c>
    </row>
    <row r="194" spans="2:13" ht="22.5">
      <c r="B194" s="26">
        <v>182</v>
      </c>
      <c r="C194" s="54"/>
      <c r="D194" s="46" t="str">
        <f t="shared" si="8"/>
        <v/>
      </c>
      <c r="E194" s="84"/>
      <c r="F194" s="124" t="str">
        <f t="shared" si="9"/>
        <v/>
      </c>
      <c r="G194" s="52"/>
      <c r="H194" s="106"/>
      <c r="I194" s="106"/>
      <c r="J194" s="106"/>
      <c r="K194" s="103"/>
      <c r="L194" s="123"/>
      <c r="M194" s="12" t="b">
        <f t="shared" si="10"/>
        <v>0</v>
      </c>
    </row>
    <row r="195" spans="2:13" ht="22.5">
      <c r="B195" s="26">
        <v>183</v>
      </c>
      <c r="C195" s="54"/>
      <c r="D195" s="46" t="str">
        <f t="shared" si="8"/>
        <v/>
      </c>
      <c r="E195" s="84"/>
      <c r="F195" s="124" t="str">
        <f t="shared" si="9"/>
        <v/>
      </c>
      <c r="G195" s="52"/>
      <c r="H195" s="106"/>
      <c r="I195" s="106"/>
      <c r="J195" s="106"/>
      <c r="K195" s="103"/>
      <c r="L195" s="123"/>
      <c r="M195" s="12" t="b">
        <f t="shared" si="10"/>
        <v>0</v>
      </c>
    </row>
    <row r="196" spans="2:13" ht="22.5">
      <c r="B196" s="26">
        <v>184</v>
      </c>
      <c r="C196" s="54"/>
      <c r="D196" s="46" t="str">
        <f t="shared" si="8"/>
        <v/>
      </c>
      <c r="E196" s="84"/>
      <c r="F196" s="124" t="str">
        <f t="shared" si="9"/>
        <v/>
      </c>
      <c r="G196" s="52"/>
      <c r="H196" s="106"/>
      <c r="I196" s="106"/>
      <c r="J196" s="106"/>
      <c r="K196" s="103"/>
      <c r="L196" s="123"/>
      <c r="M196" s="12" t="b">
        <f t="shared" si="10"/>
        <v>0</v>
      </c>
    </row>
    <row r="197" spans="2:13" ht="22.5">
      <c r="B197" s="26">
        <v>185</v>
      </c>
      <c r="C197" s="54"/>
      <c r="D197" s="46" t="str">
        <f t="shared" si="8"/>
        <v/>
      </c>
      <c r="E197" s="84"/>
      <c r="F197" s="124" t="str">
        <f t="shared" si="9"/>
        <v/>
      </c>
      <c r="G197" s="52"/>
      <c r="H197" s="106"/>
      <c r="I197" s="106"/>
      <c r="J197" s="106"/>
      <c r="K197" s="103"/>
      <c r="L197" s="123"/>
      <c r="M197" s="12" t="b">
        <f t="shared" si="10"/>
        <v>0</v>
      </c>
    </row>
    <row r="198" spans="2:13" ht="22.5">
      <c r="B198" s="26">
        <v>186</v>
      </c>
      <c r="C198" s="54"/>
      <c r="D198" s="46" t="str">
        <f t="shared" si="8"/>
        <v/>
      </c>
      <c r="E198" s="84"/>
      <c r="F198" s="124" t="str">
        <f t="shared" si="9"/>
        <v/>
      </c>
      <c r="G198" s="52"/>
      <c r="H198" s="106"/>
      <c r="I198" s="106"/>
      <c r="J198" s="106"/>
      <c r="K198" s="103"/>
      <c r="L198" s="123"/>
      <c r="M198" s="12" t="b">
        <f t="shared" si="10"/>
        <v>0</v>
      </c>
    </row>
    <row r="199" spans="2:13" ht="22.5">
      <c r="B199" s="26">
        <v>187</v>
      </c>
      <c r="C199" s="54"/>
      <c r="D199" s="46" t="str">
        <f t="shared" si="8"/>
        <v/>
      </c>
      <c r="E199" s="84"/>
      <c r="F199" s="124" t="str">
        <f t="shared" si="9"/>
        <v/>
      </c>
      <c r="G199" s="52"/>
      <c r="H199" s="106"/>
      <c r="I199" s="106"/>
      <c r="J199" s="106"/>
      <c r="K199" s="103"/>
      <c r="L199" s="123"/>
      <c r="M199" s="12" t="b">
        <f t="shared" si="10"/>
        <v>0</v>
      </c>
    </row>
    <row r="200" spans="2:13" ht="22.5">
      <c r="B200" s="26">
        <v>188</v>
      </c>
      <c r="C200" s="54"/>
      <c r="D200" s="46" t="str">
        <f t="shared" si="8"/>
        <v/>
      </c>
      <c r="E200" s="84"/>
      <c r="F200" s="124" t="str">
        <f t="shared" si="9"/>
        <v/>
      </c>
      <c r="G200" s="52"/>
      <c r="H200" s="106"/>
      <c r="I200" s="106"/>
      <c r="J200" s="106"/>
      <c r="K200" s="103"/>
      <c r="L200" s="123"/>
      <c r="M200" s="12" t="b">
        <f t="shared" si="10"/>
        <v>0</v>
      </c>
    </row>
    <row r="201" spans="2:13" ht="22.5">
      <c r="B201" s="26">
        <v>189</v>
      </c>
      <c r="C201" s="54"/>
      <c r="D201" s="46" t="str">
        <f t="shared" si="8"/>
        <v/>
      </c>
      <c r="E201" s="84"/>
      <c r="F201" s="124" t="str">
        <f t="shared" si="9"/>
        <v/>
      </c>
      <c r="G201" s="52"/>
      <c r="H201" s="106"/>
      <c r="I201" s="106"/>
      <c r="J201" s="106"/>
      <c r="K201" s="103"/>
      <c r="L201" s="123"/>
      <c r="M201" s="12" t="b">
        <f t="shared" si="10"/>
        <v>0</v>
      </c>
    </row>
    <row r="202" spans="2:13" ht="22.5">
      <c r="B202" s="26">
        <v>190</v>
      </c>
      <c r="C202" s="54"/>
      <c r="D202" s="46" t="str">
        <f t="shared" si="8"/>
        <v/>
      </c>
      <c r="E202" s="84"/>
      <c r="F202" s="124" t="str">
        <f t="shared" si="9"/>
        <v/>
      </c>
      <c r="G202" s="52"/>
      <c r="H202" s="106"/>
      <c r="I202" s="106"/>
      <c r="J202" s="106"/>
      <c r="K202" s="103"/>
      <c r="L202" s="123"/>
      <c r="M202" s="12" t="b">
        <f t="shared" si="10"/>
        <v>0</v>
      </c>
    </row>
    <row r="203" spans="2:13" ht="22.5">
      <c r="B203" s="26">
        <v>191</v>
      </c>
      <c r="C203" s="54"/>
      <c r="D203" s="46" t="str">
        <f t="shared" si="8"/>
        <v/>
      </c>
      <c r="E203" s="84"/>
      <c r="F203" s="124" t="str">
        <f t="shared" si="9"/>
        <v/>
      </c>
      <c r="G203" s="52"/>
      <c r="H203" s="106"/>
      <c r="I203" s="106"/>
      <c r="J203" s="106"/>
      <c r="K203" s="103"/>
      <c r="L203" s="123"/>
      <c r="M203" s="12" t="b">
        <f t="shared" si="10"/>
        <v>0</v>
      </c>
    </row>
    <row r="204" spans="2:13" ht="22.5">
      <c r="B204" s="26">
        <v>192</v>
      </c>
      <c r="C204" s="54"/>
      <c r="D204" s="46" t="str">
        <f t="shared" si="8"/>
        <v/>
      </c>
      <c r="E204" s="84"/>
      <c r="F204" s="124" t="str">
        <f t="shared" si="9"/>
        <v/>
      </c>
      <c r="G204" s="52"/>
      <c r="H204" s="106"/>
      <c r="I204" s="106"/>
      <c r="J204" s="106"/>
      <c r="K204" s="103"/>
      <c r="L204" s="123"/>
      <c r="M204" s="12" t="b">
        <f t="shared" si="10"/>
        <v>0</v>
      </c>
    </row>
    <row r="205" spans="2:13" ht="22.5">
      <c r="B205" s="26">
        <v>193</v>
      </c>
      <c r="C205" s="54"/>
      <c r="D205" s="46" t="str">
        <f t="shared" si="8"/>
        <v/>
      </c>
      <c r="E205" s="84"/>
      <c r="F205" s="124" t="str">
        <f t="shared" si="9"/>
        <v/>
      </c>
      <c r="G205" s="52"/>
      <c r="H205" s="106"/>
      <c r="I205" s="106"/>
      <c r="J205" s="106"/>
      <c r="K205" s="103"/>
      <c r="L205" s="123"/>
      <c r="M205" s="12" t="b">
        <f t="shared" si="10"/>
        <v>0</v>
      </c>
    </row>
    <row r="206" spans="2:13" ht="22.5">
      <c r="B206" s="26">
        <v>194</v>
      </c>
      <c r="C206" s="54"/>
      <c r="D206" s="46" t="str">
        <f t="shared" ref="D206:D262" si="11">IF(LEN(E206)=0,"",IF((AND(ISNUMBER(VALUE(E206)),LEN(E206)=12)),3,IF(AND(ISNUMBER(VALUE(E206)),(LEN(E206)=10)),1,IF(LEFT(E206)="R",IF(AND(ABS(LEN(E206)-11)=1,ISNUMBER(VALUE(RIGHT(E206,LEN(E206)-1)))),2,FALSE),FALSE))))</f>
        <v/>
      </c>
      <c r="E206" s="84"/>
      <c r="F206" s="124" t="str">
        <f t="shared" ref="F206:F262" si="12">IF(D206=FALSE,"←ご確認ください",IF(OR(D206=1,D206=2,D206=3),"形式OK",""))</f>
        <v/>
      </c>
      <c r="G206" s="52"/>
      <c r="H206" s="106"/>
      <c r="I206" s="106"/>
      <c r="J206" s="106"/>
      <c r="K206" s="103"/>
      <c r="L206" s="123"/>
      <c r="M206" s="12" t="b">
        <f t="shared" ref="M206:M262" si="13">IF(COUNTA(E206,G206)=0,FALSE,TRUE)</f>
        <v>0</v>
      </c>
    </row>
    <row r="207" spans="2:13" ht="22.5">
      <c r="B207" s="26">
        <v>195</v>
      </c>
      <c r="C207" s="54"/>
      <c r="D207" s="46" t="str">
        <f t="shared" si="11"/>
        <v/>
      </c>
      <c r="E207" s="84"/>
      <c r="F207" s="124" t="str">
        <f t="shared" si="12"/>
        <v/>
      </c>
      <c r="G207" s="52"/>
      <c r="H207" s="106"/>
      <c r="I207" s="106"/>
      <c r="J207" s="106"/>
      <c r="K207" s="103"/>
      <c r="L207" s="123"/>
      <c r="M207" s="12" t="b">
        <f t="shared" si="13"/>
        <v>0</v>
      </c>
    </row>
    <row r="208" spans="2:13" ht="22.5">
      <c r="B208" s="26">
        <v>196</v>
      </c>
      <c r="C208" s="54"/>
      <c r="D208" s="46" t="str">
        <f t="shared" si="11"/>
        <v/>
      </c>
      <c r="E208" s="84"/>
      <c r="F208" s="124" t="str">
        <f t="shared" si="12"/>
        <v/>
      </c>
      <c r="G208" s="52"/>
      <c r="H208" s="106"/>
      <c r="I208" s="106"/>
      <c r="J208" s="106"/>
      <c r="K208" s="103"/>
      <c r="L208" s="123"/>
      <c r="M208" s="12" t="b">
        <f t="shared" si="13"/>
        <v>0</v>
      </c>
    </row>
    <row r="209" spans="2:13" ht="22.5">
      <c r="B209" s="26">
        <v>197</v>
      </c>
      <c r="C209" s="54"/>
      <c r="D209" s="46" t="str">
        <f t="shared" si="11"/>
        <v/>
      </c>
      <c r="E209" s="84"/>
      <c r="F209" s="124" t="str">
        <f t="shared" si="12"/>
        <v/>
      </c>
      <c r="G209" s="52"/>
      <c r="H209" s="106"/>
      <c r="I209" s="106"/>
      <c r="J209" s="106"/>
      <c r="K209" s="103"/>
      <c r="L209" s="123"/>
      <c r="M209" s="12" t="b">
        <f t="shared" si="13"/>
        <v>0</v>
      </c>
    </row>
    <row r="210" spans="2:13" ht="22.5">
      <c r="B210" s="26">
        <v>198</v>
      </c>
      <c r="C210" s="54"/>
      <c r="D210" s="46" t="str">
        <f t="shared" si="11"/>
        <v/>
      </c>
      <c r="E210" s="84"/>
      <c r="F210" s="124" t="str">
        <f t="shared" si="12"/>
        <v/>
      </c>
      <c r="G210" s="52"/>
      <c r="H210" s="106"/>
      <c r="I210" s="106"/>
      <c r="J210" s="106"/>
      <c r="K210" s="103"/>
      <c r="L210" s="123"/>
      <c r="M210" s="12" t="b">
        <f t="shared" si="13"/>
        <v>0</v>
      </c>
    </row>
    <row r="211" spans="2:13" ht="22.5">
      <c r="B211" s="26">
        <v>199</v>
      </c>
      <c r="C211" s="54"/>
      <c r="D211" s="46" t="str">
        <f t="shared" si="11"/>
        <v/>
      </c>
      <c r="E211" s="84"/>
      <c r="F211" s="124" t="str">
        <f t="shared" si="12"/>
        <v/>
      </c>
      <c r="G211" s="52"/>
      <c r="H211" s="106"/>
      <c r="I211" s="106"/>
      <c r="J211" s="106"/>
      <c r="K211" s="103"/>
      <c r="L211" s="123"/>
      <c r="M211" s="12" t="b">
        <f t="shared" si="13"/>
        <v>0</v>
      </c>
    </row>
    <row r="212" spans="2:13" ht="22.5">
      <c r="B212" s="26">
        <v>200</v>
      </c>
      <c r="C212" s="54"/>
      <c r="D212" s="46" t="str">
        <f t="shared" si="11"/>
        <v/>
      </c>
      <c r="E212" s="84"/>
      <c r="F212" s="124" t="str">
        <f t="shared" si="12"/>
        <v/>
      </c>
      <c r="G212" s="52"/>
      <c r="H212" s="106"/>
      <c r="I212" s="106"/>
      <c r="J212" s="106"/>
      <c r="K212" s="103"/>
      <c r="L212" s="123"/>
      <c r="M212" s="12" t="b">
        <f t="shared" si="13"/>
        <v>0</v>
      </c>
    </row>
    <row r="213" spans="2:13" ht="22.5">
      <c r="B213" s="26">
        <v>201</v>
      </c>
      <c r="C213" s="54"/>
      <c r="D213" s="46" t="str">
        <f t="shared" si="11"/>
        <v/>
      </c>
      <c r="E213" s="84"/>
      <c r="F213" s="124" t="str">
        <f t="shared" si="12"/>
        <v/>
      </c>
      <c r="G213" s="52"/>
      <c r="H213" s="106"/>
      <c r="I213" s="106"/>
      <c r="J213" s="106"/>
      <c r="K213" s="103"/>
      <c r="L213" s="123"/>
      <c r="M213" s="12" t="b">
        <f t="shared" si="13"/>
        <v>0</v>
      </c>
    </row>
    <row r="214" spans="2:13" ht="22.5">
      <c r="B214" s="26">
        <v>202</v>
      </c>
      <c r="C214" s="54"/>
      <c r="D214" s="46" t="str">
        <f t="shared" si="11"/>
        <v/>
      </c>
      <c r="E214" s="84"/>
      <c r="F214" s="124" t="str">
        <f t="shared" si="12"/>
        <v/>
      </c>
      <c r="G214" s="52"/>
      <c r="H214" s="106"/>
      <c r="I214" s="106"/>
      <c r="J214" s="106"/>
      <c r="K214" s="103"/>
      <c r="L214" s="123"/>
      <c r="M214" s="12" t="b">
        <f t="shared" si="13"/>
        <v>0</v>
      </c>
    </row>
    <row r="215" spans="2:13" ht="22.5">
      <c r="B215" s="26">
        <v>203</v>
      </c>
      <c r="C215" s="54"/>
      <c r="D215" s="46" t="str">
        <f t="shared" si="11"/>
        <v/>
      </c>
      <c r="E215" s="84"/>
      <c r="F215" s="124" t="str">
        <f t="shared" si="12"/>
        <v/>
      </c>
      <c r="G215" s="52"/>
      <c r="H215" s="106"/>
      <c r="I215" s="106"/>
      <c r="J215" s="106"/>
      <c r="K215" s="103"/>
      <c r="L215" s="123"/>
      <c r="M215" s="12" t="b">
        <f t="shared" si="13"/>
        <v>0</v>
      </c>
    </row>
    <row r="216" spans="2:13" ht="22.5">
      <c r="B216" s="26">
        <v>204</v>
      </c>
      <c r="C216" s="54"/>
      <c r="D216" s="46" t="str">
        <f t="shared" si="11"/>
        <v/>
      </c>
      <c r="E216" s="84"/>
      <c r="F216" s="124" t="str">
        <f t="shared" si="12"/>
        <v/>
      </c>
      <c r="G216" s="52"/>
      <c r="H216" s="106"/>
      <c r="I216" s="106"/>
      <c r="J216" s="106"/>
      <c r="K216" s="103"/>
      <c r="L216" s="123"/>
      <c r="M216" s="12" t="b">
        <f t="shared" si="13"/>
        <v>0</v>
      </c>
    </row>
    <row r="217" spans="2:13" ht="22.5">
      <c r="B217" s="26">
        <v>205</v>
      </c>
      <c r="C217" s="54"/>
      <c r="D217" s="46" t="str">
        <f t="shared" si="11"/>
        <v/>
      </c>
      <c r="E217" s="84"/>
      <c r="F217" s="124" t="str">
        <f t="shared" si="12"/>
        <v/>
      </c>
      <c r="G217" s="52"/>
      <c r="H217" s="106"/>
      <c r="I217" s="106"/>
      <c r="J217" s="106"/>
      <c r="K217" s="103"/>
      <c r="L217" s="123"/>
      <c r="M217" s="12" t="b">
        <f t="shared" si="13"/>
        <v>0</v>
      </c>
    </row>
    <row r="218" spans="2:13" ht="22.5">
      <c r="B218" s="26">
        <v>206</v>
      </c>
      <c r="C218" s="54"/>
      <c r="D218" s="46" t="str">
        <f t="shared" si="11"/>
        <v/>
      </c>
      <c r="E218" s="84"/>
      <c r="F218" s="124" t="str">
        <f t="shared" si="12"/>
        <v/>
      </c>
      <c r="G218" s="52"/>
      <c r="H218" s="106"/>
      <c r="I218" s="106"/>
      <c r="J218" s="106"/>
      <c r="K218" s="103"/>
      <c r="L218" s="123"/>
      <c r="M218" s="12" t="b">
        <f t="shared" si="13"/>
        <v>0</v>
      </c>
    </row>
    <row r="219" spans="2:13" ht="22.5">
      <c r="B219" s="26">
        <v>207</v>
      </c>
      <c r="C219" s="54"/>
      <c r="D219" s="46" t="str">
        <f t="shared" si="11"/>
        <v/>
      </c>
      <c r="E219" s="84"/>
      <c r="F219" s="124" t="str">
        <f t="shared" si="12"/>
        <v/>
      </c>
      <c r="G219" s="52"/>
      <c r="H219" s="106"/>
      <c r="I219" s="106"/>
      <c r="J219" s="106"/>
      <c r="K219" s="103"/>
      <c r="L219" s="123"/>
      <c r="M219" s="12" t="b">
        <f t="shared" si="13"/>
        <v>0</v>
      </c>
    </row>
    <row r="220" spans="2:13" ht="22.5">
      <c r="B220" s="26">
        <v>208</v>
      </c>
      <c r="C220" s="54"/>
      <c r="D220" s="46" t="str">
        <f t="shared" si="11"/>
        <v/>
      </c>
      <c r="E220" s="84"/>
      <c r="F220" s="124" t="str">
        <f t="shared" si="12"/>
        <v/>
      </c>
      <c r="G220" s="52"/>
      <c r="H220" s="106"/>
      <c r="I220" s="106"/>
      <c r="J220" s="106"/>
      <c r="K220" s="103"/>
      <c r="L220" s="123"/>
      <c r="M220" s="12" t="b">
        <f t="shared" si="13"/>
        <v>0</v>
      </c>
    </row>
    <row r="221" spans="2:13" ht="22.5">
      <c r="B221" s="26">
        <v>209</v>
      </c>
      <c r="C221" s="54"/>
      <c r="D221" s="46" t="str">
        <f t="shared" si="11"/>
        <v/>
      </c>
      <c r="E221" s="84"/>
      <c r="F221" s="124" t="str">
        <f t="shared" si="12"/>
        <v/>
      </c>
      <c r="G221" s="52"/>
      <c r="H221" s="106"/>
      <c r="I221" s="106"/>
      <c r="J221" s="106"/>
      <c r="K221" s="103"/>
      <c r="L221" s="123"/>
      <c r="M221" s="12" t="b">
        <f t="shared" si="13"/>
        <v>0</v>
      </c>
    </row>
    <row r="222" spans="2:13" ht="22.5">
      <c r="B222" s="26">
        <v>210</v>
      </c>
      <c r="C222" s="54"/>
      <c r="D222" s="46" t="str">
        <f t="shared" si="11"/>
        <v/>
      </c>
      <c r="E222" s="84"/>
      <c r="F222" s="124" t="str">
        <f t="shared" si="12"/>
        <v/>
      </c>
      <c r="G222" s="52"/>
      <c r="H222" s="106"/>
      <c r="I222" s="106"/>
      <c r="J222" s="106"/>
      <c r="K222" s="103"/>
      <c r="L222" s="123"/>
      <c r="M222" s="12" t="b">
        <f t="shared" si="13"/>
        <v>0</v>
      </c>
    </row>
    <row r="223" spans="2:13" ht="22.5">
      <c r="B223" s="26">
        <v>211</v>
      </c>
      <c r="C223" s="54"/>
      <c r="D223" s="46" t="str">
        <f t="shared" si="11"/>
        <v/>
      </c>
      <c r="E223" s="84"/>
      <c r="F223" s="124" t="str">
        <f t="shared" si="12"/>
        <v/>
      </c>
      <c r="G223" s="52"/>
      <c r="H223" s="106"/>
      <c r="I223" s="106"/>
      <c r="J223" s="106"/>
      <c r="K223" s="103"/>
      <c r="L223" s="123"/>
      <c r="M223" s="12" t="b">
        <f t="shared" si="13"/>
        <v>0</v>
      </c>
    </row>
    <row r="224" spans="2:13" ht="22.5">
      <c r="B224" s="26">
        <v>212</v>
      </c>
      <c r="C224" s="54"/>
      <c r="D224" s="46" t="str">
        <f t="shared" si="11"/>
        <v/>
      </c>
      <c r="E224" s="84"/>
      <c r="F224" s="124" t="str">
        <f t="shared" si="12"/>
        <v/>
      </c>
      <c r="G224" s="52"/>
      <c r="H224" s="106"/>
      <c r="I224" s="106"/>
      <c r="J224" s="106"/>
      <c r="K224" s="103"/>
      <c r="L224" s="123"/>
      <c r="M224" s="12" t="b">
        <f t="shared" si="13"/>
        <v>0</v>
      </c>
    </row>
    <row r="225" spans="2:13" ht="22.5">
      <c r="B225" s="26">
        <v>213</v>
      </c>
      <c r="C225" s="54"/>
      <c r="D225" s="46" t="str">
        <f t="shared" si="11"/>
        <v/>
      </c>
      <c r="E225" s="84"/>
      <c r="F225" s="124" t="str">
        <f t="shared" si="12"/>
        <v/>
      </c>
      <c r="G225" s="52"/>
      <c r="H225" s="106"/>
      <c r="I225" s="106"/>
      <c r="J225" s="106"/>
      <c r="K225" s="103"/>
      <c r="L225" s="123"/>
      <c r="M225" s="12" t="b">
        <f t="shared" si="13"/>
        <v>0</v>
      </c>
    </row>
    <row r="226" spans="2:13" ht="22.5">
      <c r="B226" s="26">
        <v>214</v>
      </c>
      <c r="C226" s="54"/>
      <c r="D226" s="46" t="str">
        <f t="shared" si="11"/>
        <v/>
      </c>
      <c r="E226" s="84"/>
      <c r="F226" s="124" t="str">
        <f t="shared" si="12"/>
        <v/>
      </c>
      <c r="G226" s="52"/>
      <c r="H226" s="106"/>
      <c r="I226" s="106"/>
      <c r="J226" s="106"/>
      <c r="K226" s="103"/>
      <c r="L226" s="123"/>
      <c r="M226" s="12" t="b">
        <f t="shared" si="13"/>
        <v>0</v>
      </c>
    </row>
    <row r="227" spans="2:13" ht="22.5">
      <c r="B227" s="26">
        <v>215</v>
      </c>
      <c r="C227" s="54"/>
      <c r="D227" s="46" t="str">
        <f t="shared" si="11"/>
        <v/>
      </c>
      <c r="E227" s="84"/>
      <c r="F227" s="124" t="str">
        <f t="shared" si="12"/>
        <v/>
      </c>
      <c r="G227" s="52"/>
      <c r="H227" s="106"/>
      <c r="I227" s="106"/>
      <c r="J227" s="106"/>
      <c r="K227" s="103"/>
      <c r="L227" s="123"/>
      <c r="M227" s="12" t="b">
        <f t="shared" si="13"/>
        <v>0</v>
      </c>
    </row>
    <row r="228" spans="2:13" ht="22.5">
      <c r="B228" s="26">
        <v>216</v>
      </c>
      <c r="C228" s="54"/>
      <c r="D228" s="46" t="str">
        <f t="shared" si="11"/>
        <v/>
      </c>
      <c r="E228" s="84"/>
      <c r="F228" s="124" t="str">
        <f t="shared" si="12"/>
        <v/>
      </c>
      <c r="G228" s="52"/>
      <c r="H228" s="106"/>
      <c r="I228" s="106"/>
      <c r="J228" s="106"/>
      <c r="K228" s="103"/>
      <c r="L228" s="123"/>
      <c r="M228" s="12" t="b">
        <f t="shared" si="13"/>
        <v>0</v>
      </c>
    </row>
    <row r="229" spans="2:13" ht="22.5">
      <c r="B229" s="26">
        <v>217</v>
      </c>
      <c r="C229" s="54"/>
      <c r="D229" s="46" t="str">
        <f t="shared" si="11"/>
        <v/>
      </c>
      <c r="E229" s="84"/>
      <c r="F229" s="124" t="str">
        <f t="shared" si="12"/>
        <v/>
      </c>
      <c r="G229" s="52"/>
      <c r="H229" s="106"/>
      <c r="I229" s="106"/>
      <c r="J229" s="106"/>
      <c r="K229" s="103"/>
      <c r="L229" s="123"/>
      <c r="M229" s="12" t="b">
        <f t="shared" si="13"/>
        <v>0</v>
      </c>
    </row>
    <row r="230" spans="2:13" ht="22.5">
      <c r="B230" s="26">
        <v>218</v>
      </c>
      <c r="C230" s="54"/>
      <c r="D230" s="46" t="str">
        <f t="shared" si="11"/>
        <v/>
      </c>
      <c r="E230" s="84"/>
      <c r="F230" s="124" t="str">
        <f t="shared" si="12"/>
        <v/>
      </c>
      <c r="G230" s="52"/>
      <c r="H230" s="106"/>
      <c r="I230" s="106"/>
      <c r="J230" s="106"/>
      <c r="K230" s="103"/>
      <c r="L230" s="123"/>
      <c r="M230" s="12" t="b">
        <f t="shared" si="13"/>
        <v>0</v>
      </c>
    </row>
    <row r="231" spans="2:13" ht="22.5">
      <c r="B231" s="26">
        <v>219</v>
      </c>
      <c r="C231" s="54"/>
      <c r="D231" s="46" t="str">
        <f t="shared" si="11"/>
        <v/>
      </c>
      <c r="E231" s="84"/>
      <c r="F231" s="124" t="str">
        <f t="shared" si="12"/>
        <v/>
      </c>
      <c r="G231" s="52"/>
      <c r="H231" s="106"/>
      <c r="I231" s="106"/>
      <c r="J231" s="106"/>
      <c r="K231" s="103"/>
      <c r="L231" s="123"/>
      <c r="M231" s="12" t="b">
        <f t="shared" si="13"/>
        <v>0</v>
      </c>
    </row>
    <row r="232" spans="2:13" ht="22.5">
      <c r="B232" s="26">
        <v>220</v>
      </c>
      <c r="C232" s="54"/>
      <c r="D232" s="46" t="str">
        <f t="shared" si="11"/>
        <v/>
      </c>
      <c r="E232" s="84"/>
      <c r="F232" s="124" t="str">
        <f t="shared" si="12"/>
        <v/>
      </c>
      <c r="G232" s="52"/>
      <c r="H232" s="106"/>
      <c r="I232" s="106"/>
      <c r="J232" s="106"/>
      <c r="K232" s="103"/>
      <c r="L232" s="123"/>
      <c r="M232" s="12" t="b">
        <f t="shared" si="13"/>
        <v>0</v>
      </c>
    </row>
    <row r="233" spans="2:13" ht="22.5">
      <c r="B233" s="26">
        <v>221</v>
      </c>
      <c r="C233" s="54"/>
      <c r="D233" s="46" t="str">
        <f t="shared" si="11"/>
        <v/>
      </c>
      <c r="E233" s="84"/>
      <c r="F233" s="124" t="str">
        <f t="shared" si="12"/>
        <v/>
      </c>
      <c r="G233" s="52"/>
      <c r="H233" s="106"/>
      <c r="I233" s="106"/>
      <c r="J233" s="106"/>
      <c r="K233" s="103"/>
      <c r="L233" s="123"/>
      <c r="M233" s="12" t="b">
        <f t="shared" si="13"/>
        <v>0</v>
      </c>
    </row>
    <row r="234" spans="2:13" ht="22.5">
      <c r="B234" s="26">
        <v>222</v>
      </c>
      <c r="C234" s="54"/>
      <c r="D234" s="46" t="str">
        <f t="shared" si="11"/>
        <v/>
      </c>
      <c r="E234" s="84"/>
      <c r="F234" s="124" t="str">
        <f t="shared" si="12"/>
        <v/>
      </c>
      <c r="G234" s="52"/>
      <c r="H234" s="106"/>
      <c r="I234" s="106"/>
      <c r="J234" s="106"/>
      <c r="K234" s="103"/>
      <c r="L234" s="123"/>
      <c r="M234" s="12" t="b">
        <f t="shared" si="13"/>
        <v>0</v>
      </c>
    </row>
    <row r="235" spans="2:13" ht="22.5">
      <c r="B235" s="26">
        <v>223</v>
      </c>
      <c r="C235" s="54"/>
      <c r="D235" s="46" t="str">
        <f t="shared" si="11"/>
        <v/>
      </c>
      <c r="E235" s="84"/>
      <c r="F235" s="124" t="str">
        <f t="shared" si="12"/>
        <v/>
      </c>
      <c r="G235" s="52"/>
      <c r="H235" s="106"/>
      <c r="I235" s="106"/>
      <c r="J235" s="106"/>
      <c r="K235" s="103"/>
      <c r="L235" s="123"/>
      <c r="M235" s="12" t="b">
        <f t="shared" si="13"/>
        <v>0</v>
      </c>
    </row>
    <row r="236" spans="2:13" ht="22.5">
      <c r="B236" s="26">
        <v>224</v>
      </c>
      <c r="C236" s="54"/>
      <c r="D236" s="46" t="str">
        <f t="shared" si="11"/>
        <v/>
      </c>
      <c r="E236" s="84"/>
      <c r="F236" s="124" t="str">
        <f t="shared" si="12"/>
        <v/>
      </c>
      <c r="G236" s="52"/>
      <c r="H236" s="106"/>
      <c r="I236" s="106"/>
      <c r="J236" s="106"/>
      <c r="K236" s="103"/>
      <c r="L236" s="123"/>
      <c r="M236" s="12" t="b">
        <f t="shared" si="13"/>
        <v>0</v>
      </c>
    </row>
    <row r="237" spans="2:13" ht="22.5">
      <c r="B237" s="26">
        <v>225</v>
      </c>
      <c r="C237" s="54"/>
      <c r="D237" s="46" t="str">
        <f t="shared" si="11"/>
        <v/>
      </c>
      <c r="E237" s="84"/>
      <c r="F237" s="124" t="str">
        <f t="shared" si="12"/>
        <v/>
      </c>
      <c r="G237" s="52"/>
      <c r="H237" s="106"/>
      <c r="I237" s="106"/>
      <c r="J237" s="106"/>
      <c r="K237" s="103"/>
      <c r="L237" s="123"/>
      <c r="M237" s="12" t="b">
        <f t="shared" si="13"/>
        <v>0</v>
      </c>
    </row>
    <row r="238" spans="2:13" ht="22.5">
      <c r="B238" s="26">
        <v>226</v>
      </c>
      <c r="C238" s="54"/>
      <c r="D238" s="46" t="str">
        <f t="shared" si="11"/>
        <v/>
      </c>
      <c r="E238" s="84"/>
      <c r="F238" s="124" t="str">
        <f t="shared" si="12"/>
        <v/>
      </c>
      <c r="G238" s="52"/>
      <c r="H238" s="106"/>
      <c r="I238" s="106"/>
      <c r="J238" s="106"/>
      <c r="K238" s="103"/>
      <c r="L238" s="123"/>
      <c r="M238" s="12" t="b">
        <f t="shared" si="13"/>
        <v>0</v>
      </c>
    </row>
    <row r="239" spans="2:13" ht="22.5">
      <c r="B239" s="26">
        <v>227</v>
      </c>
      <c r="C239" s="54"/>
      <c r="D239" s="46" t="str">
        <f t="shared" si="11"/>
        <v/>
      </c>
      <c r="E239" s="84"/>
      <c r="F239" s="124" t="str">
        <f t="shared" si="12"/>
        <v/>
      </c>
      <c r="G239" s="52"/>
      <c r="H239" s="106"/>
      <c r="I239" s="106"/>
      <c r="J239" s="106"/>
      <c r="K239" s="103"/>
      <c r="L239" s="123"/>
      <c r="M239" s="12" t="b">
        <f t="shared" si="13"/>
        <v>0</v>
      </c>
    </row>
    <row r="240" spans="2:13" ht="22.5">
      <c r="B240" s="26">
        <v>228</v>
      </c>
      <c r="C240" s="54"/>
      <c r="D240" s="46" t="str">
        <f t="shared" si="11"/>
        <v/>
      </c>
      <c r="E240" s="84"/>
      <c r="F240" s="124" t="str">
        <f t="shared" si="12"/>
        <v/>
      </c>
      <c r="G240" s="52"/>
      <c r="H240" s="106"/>
      <c r="I240" s="106"/>
      <c r="J240" s="106"/>
      <c r="K240" s="103"/>
      <c r="L240" s="123"/>
      <c r="M240" s="12" t="b">
        <f t="shared" si="13"/>
        <v>0</v>
      </c>
    </row>
    <row r="241" spans="2:13" ht="22.5">
      <c r="B241" s="26">
        <v>229</v>
      </c>
      <c r="C241" s="54"/>
      <c r="D241" s="46" t="str">
        <f t="shared" si="11"/>
        <v/>
      </c>
      <c r="E241" s="84"/>
      <c r="F241" s="124" t="str">
        <f t="shared" si="12"/>
        <v/>
      </c>
      <c r="G241" s="52"/>
      <c r="H241" s="106"/>
      <c r="I241" s="106"/>
      <c r="J241" s="106"/>
      <c r="K241" s="103"/>
      <c r="L241" s="123"/>
      <c r="M241" s="12" t="b">
        <f t="shared" si="13"/>
        <v>0</v>
      </c>
    </row>
    <row r="242" spans="2:13" ht="22.5">
      <c r="B242" s="26">
        <v>230</v>
      </c>
      <c r="C242" s="54"/>
      <c r="D242" s="46" t="str">
        <f t="shared" si="11"/>
        <v/>
      </c>
      <c r="E242" s="84"/>
      <c r="F242" s="124" t="str">
        <f t="shared" si="12"/>
        <v/>
      </c>
      <c r="G242" s="52"/>
      <c r="H242" s="106"/>
      <c r="I242" s="106"/>
      <c r="J242" s="106"/>
      <c r="K242" s="103"/>
      <c r="L242" s="123"/>
      <c r="M242" s="12" t="b">
        <f t="shared" si="13"/>
        <v>0</v>
      </c>
    </row>
    <row r="243" spans="2:13" ht="22.5">
      <c r="B243" s="26">
        <v>231</v>
      </c>
      <c r="C243" s="54"/>
      <c r="D243" s="46" t="str">
        <f t="shared" si="11"/>
        <v/>
      </c>
      <c r="E243" s="84"/>
      <c r="F243" s="124" t="str">
        <f t="shared" si="12"/>
        <v/>
      </c>
      <c r="G243" s="52"/>
      <c r="H243" s="106"/>
      <c r="I243" s="106"/>
      <c r="J243" s="106"/>
      <c r="K243" s="103"/>
      <c r="L243" s="123"/>
      <c r="M243" s="12" t="b">
        <f t="shared" si="13"/>
        <v>0</v>
      </c>
    </row>
    <row r="244" spans="2:13" ht="22.5">
      <c r="B244" s="26">
        <v>232</v>
      </c>
      <c r="C244" s="54"/>
      <c r="D244" s="46" t="str">
        <f t="shared" si="11"/>
        <v/>
      </c>
      <c r="E244" s="84"/>
      <c r="F244" s="124" t="str">
        <f t="shared" si="12"/>
        <v/>
      </c>
      <c r="G244" s="52"/>
      <c r="H244" s="106"/>
      <c r="I244" s="106"/>
      <c r="J244" s="106"/>
      <c r="K244" s="103"/>
      <c r="L244" s="123"/>
      <c r="M244" s="12" t="b">
        <f t="shared" si="13"/>
        <v>0</v>
      </c>
    </row>
    <row r="245" spans="2:13" ht="22.5">
      <c r="B245" s="26">
        <v>233</v>
      </c>
      <c r="C245" s="54"/>
      <c r="D245" s="46" t="str">
        <f t="shared" si="11"/>
        <v/>
      </c>
      <c r="E245" s="84"/>
      <c r="F245" s="124" t="str">
        <f t="shared" si="12"/>
        <v/>
      </c>
      <c r="G245" s="52"/>
      <c r="H245" s="106"/>
      <c r="I245" s="106"/>
      <c r="J245" s="106"/>
      <c r="K245" s="103"/>
      <c r="L245" s="123"/>
      <c r="M245" s="12" t="b">
        <f t="shared" si="13"/>
        <v>0</v>
      </c>
    </row>
    <row r="246" spans="2:13" ht="22.5">
      <c r="B246" s="26">
        <v>234</v>
      </c>
      <c r="C246" s="54"/>
      <c r="D246" s="46" t="str">
        <f t="shared" si="11"/>
        <v/>
      </c>
      <c r="E246" s="84"/>
      <c r="F246" s="124" t="str">
        <f t="shared" si="12"/>
        <v/>
      </c>
      <c r="G246" s="52"/>
      <c r="H246" s="106"/>
      <c r="I246" s="106"/>
      <c r="J246" s="106"/>
      <c r="K246" s="103"/>
      <c r="L246" s="123"/>
      <c r="M246" s="12" t="b">
        <f t="shared" si="13"/>
        <v>0</v>
      </c>
    </row>
    <row r="247" spans="2:13" ht="22.5">
      <c r="B247" s="26">
        <v>235</v>
      </c>
      <c r="C247" s="54"/>
      <c r="D247" s="46" t="str">
        <f t="shared" si="11"/>
        <v/>
      </c>
      <c r="E247" s="84"/>
      <c r="F247" s="124" t="str">
        <f t="shared" si="12"/>
        <v/>
      </c>
      <c r="G247" s="52"/>
      <c r="H247" s="106"/>
      <c r="I247" s="106"/>
      <c r="J247" s="106"/>
      <c r="K247" s="103"/>
      <c r="L247" s="123"/>
      <c r="M247" s="12" t="b">
        <f t="shared" si="13"/>
        <v>0</v>
      </c>
    </row>
    <row r="248" spans="2:13" ht="22.5">
      <c r="B248" s="26">
        <v>236</v>
      </c>
      <c r="C248" s="54"/>
      <c r="D248" s="46" t="str">
        <f t="shared" si="11"/>
        <v/>
      </c>
      <c r="E248" s="84"/>
      <c r="F248" s="124" t="str">
        <f t="shared" si="12"/>
        <v/>
      </c>
      <c r="G248" s="52"/>
      <c r="H248" s="106"/>
      <c r="I248" s="106"/>
      <c r="J248" s="106"/>
      <c r="K248" s="103"/>
      <c r="L248" s="123"/>
      <c r="M248" s="12" t="b">
        <f t="shared" si="13"/>
        <v>0</v>
      </c>
    </row>
    <row r="249" spans="2:13" ht="22.5">
      <c r="B249" s="26">
        <v>237</v>
      </c>
      <c r="C249" s="54"/>
      <c r="D249" s="46" t="str">
        <f t="shared" si="11"/>
        <v/>
      </c>
      <c r="E249" s="84"/>
      <c r="F249" s="124" t="str">
        <f t="shared" si="12"/>
        <v/>
      </c>
      <c r="G249" s="52"/>
      <c r="H249" s="106"/>
      <c r="I249" s="106"/>
      <c r="J249" s="106"/>
      <c r="K249" s="103"/>
      <c r="L249" s="123"/>
      <c r="M249" s="12" t="b">
        <f t="shared" si="13"/>
        <v>0</v>
      </c>
    </row>
    <row r="250" spans="2:13" ht="22.5">
      <c r="B250" s="26">
        <v>238</v>
      </c>
      <c r="C250" s="54"/>
      <c r="D250" s="46" t="str">
        <f t="shared" si="11"/>
        <v/>
      </c>
      <c r="E250" s="84"/>
      <c r="F250" s="124" t="str">
        <f t="shared" si="12"/>
        <v/>
      </c>
      <c r="G250" s="52"/>
      <c r="H250" s="106"/>
      <c r="I250" s="106"/>
      <c r="J250" s="106"/>
      <c r="K250" s="103"/>
      <c r="L250" s="123"/>
      <c r="M250" s="12" t="b">
        <f t="shared" si="13"/>
        <v>0</v>
      </c>
    </row>
    <row r="251" spans="2:13" ht="22.5">
      <c r="B251" s="26">
        <v>239</v>
      </c>
      <c r="C251" s="54"/>
      <c r="D251" s="46" t="str">
        <f t="shared" si="11"/>
        <v/>
      </c>
      <c r="E251" s="84"/>
      <c r="F251" s="124" t="str">
        <f t="shared" si="12"/>
        <v/>
      </c>
      <c r="G251" s="52"/>
      <c r="H251" s="106"/>
      <c r="I251" s="106"/>
      <c r="J251" s="106"/>
      <c r="K251" s="103"/>
      <c r="L251" s="123"/>
      <c r="M251" s="12" t="b">
        <f t="shared" si="13"/>
        <v>0</v>
      </c>
    </row>
    <row r="252" spans="2:13" ht="22.5">
      <c r="B252" s="26">
        <v>240</v>
      </c>
      <c r="C252" s="54"/>
      <c r="D252" s="46" t="str">
        <f t="shared" si="11"/>
        <v/>
      </c>
      <c r="E252" s="84"/>
      <c r="F252" s="124" t="str">
        <f t="shared" si="12"/>
        <v/>
      </c>
      <c r="G252" s="52"/>
      <c r="H252" s="106"/>
      <c r="I252" s="106"/>
      <c r="J252" s="106"/>
      <c r="K252" s="103"/>
      <c r="L252" s="123"/>
      <c r="M252" s="12" t="b">
        <f t="shared" si="13"/>
        <v>0</v>
      </c>
    </row>
    <row r="253" spans="2:13" ht="22.5">
      <c r="B253" s="26">
        <v>241</v>
      </c>
      <c r="C253" s="54"/>
      <c r="D253" s="46" t="str">
        <f t="shared" si="11"/>
        <v/>
      </c>
      <c r="E253" s="84"/>
      <c r="F253" s="124" t="str">
        <f t="shared" si="12"/>
        <v/>
      </c>
      <c r="G253" s="52"/>
      <c r="H253" s="106"/>
      <c r="I253" s="106"/>
      <c r="J253" s="106"/>
      <c r="K253" s="103"/>
      <c r="L253" s="123"/>
      <c r="M253" s="12" t="b">
        <f t="shared" si="13"/>
        <v>0</v>
      </c>
    </row>
    <row r="254" spans="2:13" ht="22.5">
      <c r="B254" s="26">
        <v>242</v>
      </c>
      <c r="C254" s="54"/>
      <c r="D254" s="46" t="str">
        <f t="shared" si="11"/>
        <v/>
      </c>
      <c r="E254" s="84"/>
      <c r="F254" s="124" t="str">
        <f t="shared" si="12"/>
        <v/>
      </c>
      <c r="G254" s="52"/>
      <c r="H254" s="106"/>
      <c r="I254" s="106"/>
      <c r="J254" s="106"/>
      <c r="K254" s="103"/>
      <c r="L254" s="123"/>
      <c r="M254" s="12" t="b">
        <f t="shared" si="13"/>
        <v>0</v>
      </c>
    </row>
    <row r="255" spans="2:13" ht="22.5">
      <c r="B255" s="26">
        <v>243</v>
      </c>
      <c r="C255" s="54"/>
      <c r="D255" s="46" t="str">
        <f t="shared" si="11"/>
        <v/>
      </c>
      <c r="E255" s="84"/>
      <c r="F255" s="124" t="str">
        <f t="shared" si="12"/>
        <v/>
      </c>
      <c r="G255" s="52"/>
      <c r="H255" s="106"/>
      <c r="I255" s="106"/>
      <c r="J255" s="106"/>
      <c r="K255" s="103"/>
      <c r="L255" s="123"/>
      <c r="M255" s="12" t="b">
        <f t="shared" si="13"/>
        <v>0</v>
      </c>
    </row>
    <row r="256" spans="2:13" ht="22.5">
      <c r="B256" s="26">
        <v>244</v>
      </c>
      <c r="C256" s="54"/>
      <c r="D256" s="46" t="str">
        <f t="shared" si="11"/>
        <v/>
      </c>
      <c r="E256" s="84"/>
      <c r="F256" s="124" t="str">
        <f t="shared" si="12"/>
        <v/>
      </c>
      <c r="G256" s="52"/>
      <c r="H256" s="106"/>
      <c r="I256" s="106"/>
      <c r="J256" s="106"/>
      <c r="K256" s="103"/>
      <c r="L256" s="123"/>
      <c r="M256" s="12" t="b">
        <f t="shared" si="13"/>
        <v>0</v>
      </c>
    </row>
    <row r="257" spans="2:13" ht="22.5">
      <c r="B257" s="26">
        <v>245</v>
      </c>
      <c r="C257" s="54"/>
      <c r="D257" s="46" t="str">
        <f t="shared" si="11"/>
        <v/>
      </c>
      <c r="E257" s="84"/>
      <c r="F257" s="124" t="str">
        <f t="shared" si="12"/>
        <v/>
      </c>
      <c r="G257" s="52"/>
      <c r="H257" s="106"/>
      <c r="I257" s="106"/>
      <c r="J257" s="106"/>
      <c r="K257" s="103"/>
      <c r="L257" s="123"/>
      <c r="M257" s="12" t="b">
        <f t="shared" si="13"/>
        <v>0</v>
      </c>
    </row>
    <row r="258" spans="2:13" ht="22.5">
      <c r="B258" s="26">
        <v>246</v>
      </c>
      <c r="C258" s="54"/>
      <c r="D258" s="46" t="str">
        <f t="shared" si="11"/>
        <v/>
      </c>
      <c r="E258" s="84"/>
      <c r="F258" s="124" t="str">
        <f t="shared" si="12"/>
        <v/>
      </c>
      <c r="G258" s="52"/>
      <c r="H258" s="106"/>
      <c r="I258" s="106"/>
      <c r="J258" s="106"/>
      <c r="K258" s="103"/>
      <c r="L258" s="123"/>
      <c r="M258" s="12" t="b">
        <f t="shared" si="13"/>
        <v>0</v>
      </c>
    </row>
    <row r="259" spans="2:13" ht="22.5">
      <c r="B259" s="26">
        <v>247</v>
      </c>
      <c r="C259" s="54"/>
      <c r="D259" s="46" t="str">
        <f t="shared" si="11"/>
        <v/>
      </c>
      <c r="E259" s="84"/>
      <c r="F259" s="124" t="str">
        <f t="shared" si="12"/>
        <v/>
      </c>
      <c r="G259" s="52"/>
      <c r="H259" s="106"/>
      <c r="I259" s="106"/>
      <c r="J259" s="106"/>
      <c r="K259" s="103"/>
      <c r="L259" s="123"/>
      <c r="M259" s="12" t="b">
        <f t="shared" si="13"/>
        <v>0</v>
      </c>
    </row>
    <row r="260" spans="2:13" ht="22.5">
      <c r="B260" s="26">
        <v>248</v>
      </c>
      <c r="C260" s="54"/>
      <c r="D260" s="46" t="str">
        <f t="shared" si="11"/>
        <v/>
      </c>
      <c r="E260" s="84"/>
      <c r="F260" s="124" t="str">
        <f t="shared" si="12"/>
        <v/>
      </c>
      <c r="G260" s="52"/>
      <c r="H260" s="106"/>
      <c r="I260" s="106"/>
      <c r="J260" s="106"/>
      <c r="K260" s="103"/>
      <c r="L260" s="123"/>
      <c r="M260" s="12" t="b">
        <f t="shared" si="13"/>
        <v>0</v>
      </c>
    </row>
    <row r="261" spans="2:13" ht="22.5">
      <c r="B261" s="26">
        <v>249</v>
      </c>
      <c r="C261" s="54"/>
      <c r="D261" s="46" t="str">
        <f t="shared" si="11"/>
        <v/>
      </c>
      <c r="E261" s="84"/>
      <c r="F261" s="124" t="str">
        <f t="shared" si="12"/>
        <v/>
      </c>
      <c r="G261" s="52"/>
      <c r="H261" s="106"/>
      <c r="I261" s="106"/>
      <c r="J261" s="106"/>
      <c r="K261" s="103"/>
      <c r="L261" s="123"/>
      <c r="M261" s="12" t="b">
        <f t="shared" si="13"/>
        <v>0</v>
      </c>
    </row>
    <row r="262" spans="2:13" ht="23.25" thickBot="1">
      <c r="B262" s="27">
        <v>250</v>
      </c>
      <c r="C262" s="55"/>
      <c r="D262" s="46" t="str">
        <f t="shared" si="11"/>
        <v/>
      </c>
      <c r="E262" s="87"/>
      <c r="F262" s="125" t="str">
        <f t="shared" si="12"/>
        <v/>
      </c>
      <c r="G262" s="52"/>
      <c r="H262" s="106"/>
      <c r="I262" s="106"/>
      <c r="J262" s="106"/>
      <c r="K262" s="103"/>
      <c r="L262" s="123"/>
      <c r="M262" s="12" t="b">
        <f t="shared" si="13"/>
        <v>0</v>
      </c>
    </row>
  </sheetData>
  <sheetProtection algorithmName="SHA-512" hashValue="GEtSy8N716qQaxuBMhMIy81pjO9QvYPEwTYQrdQsIJESNpO5oSCLc8lYTIOOLOhWadmlsWhSS1UhIqwh445njw==" saltValue="yU9mT2337DtgM7dAm5TU6w==" spinCount="100000" sheet="1" objects="1" scenarios="1" selectLockedCells="1"/>
  <mergeCells count="6">
    <mergeCell ref="K8:L8"/>
    <mergeCell ref="H8:I8"/>
    <mergeCell ref="H9:I9"/>
    <mergeCell ref="E2:S2"/>
    <mergeCell ref="E4:S4"/>
    <mergeCell ref="E6:S6"/>
  </mergeCells>
  <phoneticPr fontId="1"/>
  <conditionalFormatting sqref="E13:E262">
    <cfRule type="expression" dxfId="21" priority="1">
      <formula>$D13=FALSE</formula>
    </cfRule>
  </conditionalFormatting>
  <conditionalFormatting sqref="F13:F262">
    <cfRule type="expression" dxfId="20" priority="2">
      <formula>D13=FALSE</formula>
    </cfRule>
  </conditionalFormatting>
  <conditionalFormatting sqref="G13:G262">
    <cfRule type="expression" dxfId="19" priority="25" stopIfTrue="1">
      <formula>ISNUMBER($D13)</formula>
    </cfRule>
  </conditionalFormatting>
  <conditionalFormatting sqref="H13:H262">
    <cfRule type="expression" dxfId="18" priority="32">
      <formula>AND($D13=1,$H13="")</formula>
    </cfRule>
  </conditionalFormatting>
  <conditionalFormatting sqref="H13:J262">
    <cfRule type="expression" dxfId="17" priority="10">
      <formula>$D13&lt;&gt;1</formula>
    </cfRule>
  </conditionalFormatting>
  <conditionalFormatting sqref="I13:I262">
    <cfRule type="expression" dxfId="16" priority="37">
      <formula>AND(($H13="既存コードに追加"),($I13=""))</formula>
    </cfRule>
    <cfRule type="expression" dxfId="15" priority="38">
      <formula>$H13="新規払い出し"</formula>
    </cfRule>
  </conditionalFormatting>
  <conditionalFormatting sqref="J13:J262">
    <cfRule type="expression" dxfId="14" priority="43">
      <formula>AND($D13=1,$J13="")</formula>
    </cfRule>
  </conditionalFormatting>
  <conditionalFormatting sqref="K13:K262">
    <cfRule type="expression" dxfId="13" priority="45">
      <formula>AND(($D13=2),($K13=""))</formula>
    </cfRule>
  </conditionalFormatting>
  <conditionalFormatting sqref="K13:L262">
    <cfRule type="expression" dxfId="12" priority="5">
      <formula>$D13&lt;&gt;2</formula>
    </cfRule>
  </conditionalFormatting>
  <conditionalFormatting sqref="L13:L262">
    <cfRule type="expression" dxfId="11" priority="48">
      <formula>AND(($K13="あり"),($L13=""))</formula>
    </cfRule>
    <cfRule type="expression" dxfId="10" priority="49">
      <formula>$K13="なし"</formula>
    </cfRule>
  </conditionalFormatting>
  <dataValidations count="9">
    <dataValidation type="list" allowBlank="1" showInputMessage="1" showErrorMessage="1" sqref="J10:J262" xr:uid="{4C64113C-A955-4ECC-A125-A4A9C661A487}">
      <formula1>"希望する,希望しない"</formula1>
    </dataValidation>
    <dataValidation type="list" allowBlank="1" showInputMessage="1" showErrorMessage="1" sqref="K10:K262" xr:uid="{C47D98E4-1A4C-47FB-B441-98A75D37CFF5}">
      <formula1>"あり,なし"</formula1>
    </dataValidation>
    <dataValidation type="list" allowBlank="1" showInputMessage="1" showErrorMessage="1" errorTitle="エラー" error="1,2,3から選択ください" sqref="D10:D12" xr:uid="{DDE2B2E7-13A2-427B-AFAD-E3DBC5662D64}">
      <formula1>"1,2,3"</formula1>
    </dataValidation>
    <dataValidation type="list" allowBlank="1" showInputMessage="1" showErrorMessage="1" sqref="C10:C262" xr:uid="{EF927339-ECE6-4806-966C-237205BF706D}">
      <formula1>"追加,削除"</formula1>
    </dataValidation>
    <dataValidation type="list" allowBlank="1" showInputMessage="1" showErrorMessage="1" sqref="H10:H262" xr:uid="{7AF5BF3C-7705-4595-A74B-583ED46E7E81}">
      <formula1>"新規払い出し,既存コードに追加"</formula1>
    </dataValidation>
    <dataValidation imeMode="disabled" allowBlank="1" showInputMessage="1" showErrorMessage="1" sqref="G13:G262" xr:uid="{D63EC0CE-7C8E-41F0-A451-44A93D5AFEFF}"/>
    <dataValidation type="textLength" imeMode="disabled" operator="equal" allowBlank="1" showInputMessage="1" showErrorMessage="1" error="会社コードは５桁で入力ください" sqref="I13:I262" xr:uid="{6DCABDFE-D4A2-46E0-BA29-E6F545481FE7}">
      <formula1>5</formula1>
    </dataValidation>
    <dataValidation type="textLength" imeMode="disabled" allowBlank="1" showInputMessage="1" showErrorMessage="1" errorTitle="桁数をご確認ください" error="ご請求番号をハイフン無しで入力ください" sqref="E13:E262" xr:uid="{9E4E8417-5805-4E3B-92AB-B26115952909}">
      <formula1>10</formula1>
      <formula2>12</formula2>
    </dataValidation>
    <dataValidation type="custom" imeMode="disabled" allowBlank="1" showInputMessage="1" showErrorMessage="1" error="分割番号は2桁で入力ください" sqref="L13:L262" xr:uid="{AC194723-FE63-4FDF-88E8-BED64923ADA8}">
      <formula1>LEN(L13)=2</formula1>
    </dataValidation>
  </dataValidations>
  <pageMargins left="0.7" right="0.7" top="0.75" bottom="0.75" header="0.3" footer="0.3"/>
  <pageSetup paperSize="9" scale="59"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60FE15-2432-4084-B055-2508AA1DFCE0}">
  <sheetPr>
    <tabColor theme="0"/>
    <pageSetUpPr fitToPage="1"/>
  </sheetPr>
  <dimension ref="A1:AJ50"/>
  <sheetViews>
    <sheetView showGridLines="0" zoomScale="80" zoomScaleNormal="80" zoomScaleSheetLayoutView="90" workbookViewId="0">
      <selection activeCell="K10" sqref="K10:AE10"/>
    </sheetView>
  </sheetViews>
  <sheetFormatPr defaultColWidth="9" defaultRowHeight="13.5"/>
  <cols>
    <col min="1" max="4" width="6.125" style="30" customWidth="1"/>
    <col min="5" max="10" width="4.625" style="30" customWidth="1"/>
    <col min="11" max="12" width="3.125" style="30" customWidth="1"/>
    <col min="13" max="18" width="3.375" style="30" customWidth="1"/>
    <col min="19" max="28" width="3.125" style="30" customWidth="1"/>
    <col min="29" max="34" width="6.125" style="30" customWidth="1"/>
    <col min="35" max="35" width="8.375" style="30" customWidth="1"/>
    <col min="36" max="36" width="6.125" style="30" customWidth="1"/>
    <col min="37" max="57" width="3.625" style="30" customWidth="1"/>
    <col min="58" max="16384" width="9" style="30"/>
  </cols>
  <sheetData>
    <row r="1" spans="1:36" ht="13.5" customHeight="1">
      <c r="A1" s="193"/>
      <c r="B1" s="193"/>
      <c r="C1" s="193"/>
      <c r="D1" s="193"/>
      <c r="E1" s="193"/>
      <c r="F1" s="193"/>
      <c r="G1" s="193"/>
      <c r="H1" s="193"/>
      <c r="I1" s="193"/>
      <c r="J1" s="193"/>
      <c r="K1" s="193"/>
      <c r="L1" s="193"/>
      <c r="M1" s="193"/>
      <c r="N1" s="193"/>
      <c r="O1" s="193"/>
      <c r="P1" s="193"/>
      <c r="Q1" s="193"/>
      <c r="R1" s="193"/>
      <c r="S1" s="193"/>
      <c r="T1" s="193"/>
      <c r="U1" s="193"/>
      <c r="V1" s="193"/>
      <c r="W1" s="193"/>
      <c r="X1" s="193"/>
      <c r="Y1" s="193"/>
      <c r="Z1" s="193"/>
      <c r="AA1" s="193"/>
      <c r="AB1" s="193"/>
      <c r="AC1" s="193"/>
      <c r="AD1" s="193"/>
      <c r="AE1" s="193"/>
    </row>
    <row r="2" spans="1:36" ht="13.5" customHeight="1">
      <c r="A2" s="193"/>
      <c r="B2" s="193"/>
      <c r="C2" s="193"/>
      <c r="D2" s="193"/>
      <c r="E2" s="193"/>
      <c r="F2" s="193"/>
      <c r="G2" s="193"/>
      <c r="H2" s="193"/>
      <c r="I2" s="193"/>
      <c r="J2" s="193"/>
      <c r="K2" s="193"/>
      <c r="L2" s="193"/>
      <c r="M2" s="193"/>
      <c r="N2" s="193"/>
      <c r="O2" s="193"/>
      <c r="P2" s="193"/>
      <c r="Q2" s="193"/>
      <c r="R2" s="193"/>
      <c r="S2" s="193"/>
      <c r="T2" s="193"/>
      <c r="U2" s="193"/>
      <c r="V2" s="193"/>
      <c r="W2" s="193"/>
      <c r="X2" s="193"/>
      <c r="Y2" s="193"/>
      <c r="Z2" s="193"/>
      <c r="AA2" s="193"/>
      <c r="AB2" s="193"/>
      <c r="AC2" s="193"/>
      <c r="AD2" s="193"/>
      <c r="AE2" s="193"/>
    </row>
    <row r="3" spans="1:36" ht="13.5" customHeight="1">
      <c r="A3" s="31"/>
      <c r="B3" s="31"/>
      <c r="C3" s="31"/>
      <c r="D3" s="31"/>
      <c r="E3" s="31"/>
      <c r="F3" s="31"/>
      <c r="G3" s="31"/>
      <c r="H3" s="31"/>
      <c r="I3" s="31"/>
      <c r="J3" s="31"/>
      <c r="K3" s="31"/>
      <c r="L3" s="31"/>
      <c r="M3" s="31"/>
      <c r="N3" s="31"/>
      <c r="O3" s="31"/>
      <c r="P3" s="31"/>
      <c r="Q3" s="31"/>
      <c r="R3" s="31"/>
      <c r="S3" s="31"/>
      <c r="T3" s="31"/>
      <c r="U3" s="31"/>
      <c r="V3" s="31"/>
      <c r="W3" s="31"/>
      <c r="X3" s="31"/>
      <c r="Y3" s="31"/>
      <c r="Z3" s="31"/>
      <c r="AA3" s="31"/>
      <c r="AB3" s="31"/>
      <c r="AC3" s="31"/>
      <c r="AD3" s="31"/>
      <c r="AE3" s="31"/>
    </row>
    <row r="4" spans="1:36" ht="13.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c r="AB4" s="31"/>
      <c r="AC4" s="31"/>
      <c r="AD4" s="31"/>
      <c r="AE4" s="31"/>
    </row>
    <row r="5" spans="1:36" ht="19.899999999999999" customHeight="1">
      <c r="A5" s="31"/>
      <c r="B5" s="31"/>
      <c r="C5" s="31"/>
      <c r="D5" s="31"/>
      <c r="E5" s="31"/>
      <c r="F5" s="31"/>
      <c r="G5" s="31"/>
      <c r="H5" s="31"/>
      <c r="I5" s="31"/>
      <c r="J5" s="31"/>
      <c r="K5" s="31"/>
      <c r="L5" s="31"/>
      <c r="M5" s="31"/>
      <c r="N5" s="31"/>
      <c r="O5" s="31"/>
      <c r="P5" s="31"/>
      <c r="Q5" s="31"/>
      <c r="R5" s="31"/>
      <c r="S5" s="31"/>
      <c r="T5" s="31"/>
      <c r="U5" s="31"/>
      <c r="V5" s="31"/>
      <c r="W5" s="31"/>
      <c r="X5" s="31"/>
      <c r="Y5" s="31"/>
      <c r="Z5" s="31"/>
      <c r="AA5" s="31"/>
      <c r="AB5" s="31"/>
      <c r="AC5" s="31"/>
      <c r="AD5" s="31"/>
      <c r="AE5" s="31"/>
      <c r="AF5" s="231" t="s">
        <v>217</v>
      </c>
      <c r="AG5" s="232"/>
      <c r="AH5" s="32" t="s">
        <v>55</v>
      </c>
      <c r="AI5" s="33">
        <v>2.1</v>
      </c>
    </row>
    <row r="6" spans="1:36" ht="43.15" customHeight="1">
      <c r="A6" s="199" t="s">
        <v>219</v>
      </c>
      <c r="B6" s="199"/>
      <c r="C6" s="199"/>
      <c r="D6" s="199"/>
      <c r="E6" s="199"/>
      <c r="F6" s="199"/>
      <c r="G6" s="199"/>
      <c r="H6" s="199"/>
      <c r="I6" s="199"/>
      <c r="J6" s="199"/>
      <c r="K6" s="199"/>
      <c r="L6" s="199"/>
      <c r="M6" s="199"/>
      <c r="N6" s="199"/>
      <c r="O6" s="199"/>
      <c r="P6" s="199"/>
      <c r="Q6" s="199"/>
      <c r="R6" s="199"/>
      <c r="S6" s="199"/>
      <c r="T6" s="199"/>
      <c r="U6" s="199"/>
      <c r="V6" s="199"/>
      <c r="W6" s="199"/>
      <c r="X6" s="199"/>
      <c r="Y6" s="199"/>
      <c r="Z6" s="199"/>
      <c r="AA6" s="199"/>
      <c r="AB6" s="199"/>
      <c r="AC6" s="199"/>
      <c r="AD6" s="199"/>
      <c r="AE6" s="34"/>
      <c r="AF6" s="34"/>
      <c r="AG6" s="34"/>
      <c r="AJ6" s="34"/>
    </row>
    <row r="7" spans="1:36" ht="174.6" customHeight="1">
      <c r="A7" s="35"/>
    </row>
    <row r="8" spans="1:36" ht="116.45" customHeight="1">
      <c r="A8" s="35"/>
    </row>
    <row r="9" spans="1:36" ht="21" customHeight="1" thickBot="1">
      <c r="A9" s="36" t="s">
        <v>0</v>
      </c>
    </row>
    <row r="10" spans="1:36" ht="44.45" customHeight="1">
      <c r="A10" s="200" t="s">
        <v>107</v>
      </c>
      <c r="B10" s="201"/>
      <c r="C10" s="201"/>
      <c r="D10" s="201"/>
      <c r="E10" s="201"/>
      <c r="F10" s="201"/>
      <c r="G10" s="201"/>
      <c r="H10" s="201"/>
      <c r="I10" s="201"/>
      <c r="J10" s="202"/>
      <c r="K10" s="215">
        <v>45082</v>
      </c>
      <c r="L10" s="216"/>
      <c r="M10" s="216"/>
      <c r="N10" s="216"/>
      <c r="O10" s="216"/>
      <c r="P10" s="216"/>
      <c r="Q10" s="216"/>
      <c r="R10" s="216"/>
      <c r="S10" s="216"/>
      <c r="T10" s="216"/>
      <c r="U10" s="216"/>
      <c r="V10" s="216"/>
      <c r="W10" s="216"/>
      <c r="X10" s="216"/>
      <c r="Y10" s="216"/>
      <c r="Z10" s="216"/>
      <c r="AA10" s="216"/>
      <c r="AB10" s="216"/>
      <c r="AC10" s="216"/>
      <c r="AD10" s="216"/>
      <c r="AE10" s="217"/>
      <c r="AF10" s="206" t="s">
        <v>157</v>
      </c>
      <c r="AG10" s="207"/>
      <c r="AH10" s="207"/>
      <c r="AI10" s="207"/>
      <c r="AJ10" s="208"/>
    </row>
    <row r="11" spans="1:36" ht="44.45" customHeight="1">
      <c r="A11" s="203" t="s">
        <v>193</v>
      </c>
      <c r="B11" s="204"/>
      <c r="C11" s="204"/>
      <c r="D11" s="204"/>
      <c r="E11" s="204"/>
      <c r="F11" s="204"/>
      <c r="G11" s="204"/>
      <c r="H11" s="204"/>
      <c r="I11" s="205"/>
      <c r="J11" s="134" t="s">
        <v>46</v>
      </c>
      <c r="K11" s="284">
        <v>9999333</v>
      </c>
      <c r="L11" s="284"/>
      <c r="M11" s="284"/>
      <c r="N11" s="284"/>
      <c r="O11" s="284"/>
      <c r="P11" s="284"/>
      <c r="Q11" s="284"/>
      <c r="R11" s="284"/>
      <c r="S11" s="284"/>
      <c r="T11" s="284"/>
      <c r="U11" s="284"/>
      <c r="V11" s="284"/>
      <c r="W11" s="284"/>
      <c r="X11" s="284"/>
      <c r="Y11" s="284"/>
      <c r="Z11" s="284"/>
      <c r="AA11" s="284"/>
      <c r="AB11" s="284"/>
      <c r="AC11" s="284"/>
      <c r="AD11" s="284"/>
      <c r="AE11" s="285"/>
      <c r="AF11" s="267" t="s">
        <v>45</v>
      </c>
      <c r="AG11" s="268"/>
      <c r="AH11" s="268"/>
      <c r="AI11" s="268"/>
      <c r="AJ11" s="269"/>
    </row>
    <row r="12" spans="1:36" ht="44.45" customHeight="1">
      <c r="A12" s="203" t="s">
        <v>192</v>
      </c>
      <c r="B12" s="204"/>
      <c r="C12" s="204"/>
      <c r="D12" s="204"/>
      <c r="E12" s="204"/>
      <c r="F12" s="204"/>
      <c r="G12" s="204"/>
      <c r="H12" s="204"/>
      <c r="I12" s="205"/>
      <c r="J12" s="134" t="s">
        <v>46</v>
      </c>
      <c r="K12" s="284">
        <v>111</v>
      </c>
      <c r="L12" s="284"/>
      <c r="M12" s="284"/>
      <c r="N12" s="284"/>
      <c r="O12" s="284"/>
      <c r="P12" s="284"/>
      <c r="Q12" s="284"/>
      <c r="R12" s="284"/>
      <c r="S12" s="284"/>
      <c r="T12" s="284"/>
      <c r="U12" s="284"/>
      <c r="V12" s="284"/>
      <c r="W12" s="284"/>
      <c r="X12" s="284"/>
      <c r="Y12" s="284"/>
      <c r="Z12" s="284"/>
      <c r="AA12" s="284"/>
      <c r="AB12" s="284"/>
      <c r="AC12" s="284"/>
      <c r="AD12" s="284"/>
      <c r="AE12" s="285"/>
      <c r="AF12" s="267" t="s">
        <v>45</v>
      </c>
      <c r="AG12" s="268"/>
      <c r="AH12" s="268"/>
      <c r="AI12" s="268"/>
      <c r="AJ12" s="269"/>
    </row>
    <row r="13" spans="1:36" ht="22.15" customHeight="1">
      <c r="A13" s="194" t="s">
        <v>103</v>
      </c>
      <c r="B13" s="195"/>
      <c r="C13" s="195"/>
      <c r="D13" s="196"/>
      <c r="E13" s="56" t="s">
        <v>187</v>
      </c>
      <c r="F13" s="57"/>
      <c r="G13" s="57"/>
      <c r="H13" s="57"/>
      <c r="I13" s="57"/>
      <c r="J13" s="58"/>
      <c r="K13" s="270" t="s">
        <v>110</v>
      </c>
      <c r="L13" s="271"/>
      <c r="M13" s="271"/>
      <c r="N13" s="271"/>
      <c r="O13" s="271"/>
      <c r="P13" s="271"/>
      <c r="Q13" s="271"/>
      <c r="R13" s="271"/>
      <c r="S13" s="271"/>
      <c r="T13" s="271"/>
      <c r="U13" s="271"/>
      <c r="V13" s="271"/>
      <c r="W13" s="271"/>
      <c r="X13" s="271"/>
      <c r="Y13" s="271"/>
      <c r="Z13" s="271"/>
      <c r="AA13" s="271"/>
      <c r="AB13" s="271"/>
      <c r="AC13" s="272"/>
      <c r="AD13" s="59" t="s">
        <v>47</v>
      </c>
      <c r="AE13" s="60"/>
      <c r="AF13" s="273" t="s">
        <v>48</v>
      </c>
      <c r="AG13" s="274"/>
      <c r="AH13" s="274"/>
      <c r="AI13" s="274"/>
      <c r="AJ13" s="275"/>
    </row>
    <row r="14" spans="1:36" ht="40.15" customHeight="1">
      <c r="A14" s="197"/>
      <c r="B14" s="198"/>
      <c r="C14" s="198"/>
      <c r="D14" s="198"/>
      <c r="E14" s="61"/>
      <c r="F14" s="61"/>
      <c r="G14" s="61"/>
      <c r="H14" s="61"/>
      <c r="I14" s="61"/>
      <c r="J14" s="62"/>
      <c r="K14" s="279" t="s">
        <v>111</v>
      </c>
      <c r="L14" s="280"/>
      <c r="M14" s="280"/>
      <c r="N14" s="280"/>
      <c r="O14" s="280"/>
      <c r="P14" s="280"/>
      <c r="Q14" s="280"/>
      <c r="R14" s="280"/>
      <c r="S14" s="280"/>
      <c r="T14" s="280"/>
      <c r="U14" s="280"/>
      <c r="V14" s="280"/>
      <c r="W14" s="280"/>
      <c r="X14" s="280"/>
      <c r="Y14" s="280"/>
      <c r="Z14" s="280"/>
      <c r="AA14" s="280"/>
      <c r="AB14" s="280"/>
      <c r="AC14" s="281"/>
      <c r="AD14" s="282"/>
      <c r="AE14" s="283"/>
      <c r="AF14" s="276"/>
      <c r="AG14" s="277"/>
      <c r="AH14" s="277"/>
      <c r="AI14" s="277"/>
      <c r="AJ14" s="278"/>
    </row>
    <row r="15" spans="1:36" ht="27.6" customHeight="1">
      <c r="A15" s="142" t="s">
        <v>125</v>
      </c>
      <c r="B15" s="143"/>
      <c r="C15" s="143"/>
      <c r="D15" s="143"/>
      <c r="E15" s="143"/>
      <c r="F15" s="143"/>
      <c r="G15" s="143"/>
      <c r="H15" s="143"/>
      <c r="I15" s="144"/>
      <c r="J15" s="79" t="s">
        <v>1</v>
      </c>
      <c r="K15" s="140" t="s">
        <v>112</v>
      </c>
      <c r="L15" s="140"/>
      <c r="M15" s="140"/>
      <c r="N15" s="140"/>
      <c r="O15" s="140"/>
      <c r="P15" s="140"/>
      <c r="Q15" s="140"/>
      <c r="R15" s="140"/>
      <c r="S15" s="140"/>
      <c r="T15" s="140"/>
      <c r="U15" s="140"/>
      <c r="V15" s="140"/>
      <c r="W15" s="140"/>
      <c r="X15" s="140"/>
      <c r="Y15" s="140"/>
      <c r="Z15" s="140"/>
      <c r="AA15" s="140"/>
      <c r="AB15" s="140"/>
      <c r="AC15" s="140"/>
      <c r="AD15" s="140"/>
      <c r="AE15" s="141"/>
      <c r="AF15" s="136" t="s">
        <v>2</v>
      </c>
      <c r="AG15" s="137"/>
      <c r="AH15" s="137"/>
      <c r="AI15" s="137"/>
      <c r="AJ15" s="138"/>
    </row>
    <row r="16" spans="1:36" ht="34.9" hidden="1" customHeight="1">
      <c r="B16" s="63"/>
      <c r="C16" s="63"/>
      <c r="D16" s="64"/>
      <c r="E16" s="59"/>
      <c r="F16" s="65"/>
      <c r="G16" s="65"/>
      <c r="H16" s="65"/>
      <c r="I16" s="65"/>
      <c r="J16" s="60"/>
      <c r="K16" s="66"/>
      <c r="L16" s="67"/>
      <c r="M16" s="67"/>
      <c r="N16" s="67"/>
      <c r="O16" s="67"/>
      <c r="P16" s="67"/>
      <c r="Q16" s="67"/>
      <c r="R16" s="67"/>
      <c r="S16" s="67"/>
      <c r="T16" s="67"/>
      <c r="U16" s="67"/>
      <c r="V16" s="67"/>
      <c r="W16" s="67"/>
      <c r="X16" s="67"/>
      <c r="Y16" s="67"/>
      <c r="Z16" s="67"/>
      <c r="AA16" s="67"/>
      <c r="AB16" s="67"/>
      <c r="AC16" s="67"/>
      <c r="AD16" s="67"/>
      <c r="AE16" s="68"/>
      <c r="AF16" s="136"/>
      <c r="AG16" s="137"/>
      <c r="AH16" s="137"/>
      <c r="AI16" s="137"/>
      <c r="AJ16" s="138"/>
    </row>
    <row r="17" spans="1:36" ht="57.6" customHeight="1">
      <c r="A17" s="142" t="s">
        <v>102</v>
      </c>
      <c r="B17" s="143"/>
      <c r="C17" s="143"/>
      <c r="D17" s="144"/>
      <c r="E17" s="154" t="s">
        <v>188</v>
      </c>
      <c r="F17" s="155"/>
      <c r="G17" s="155"/>
      <c r="H17" s="155"/>
      <c r="I17" s="155"/>
      <c r="J17" s="156"/>
      <c r="K17" s="286" t="s">
        <v>113</v>
      </c>
      <c r="L17" s="287"/>
      <c r="M17" s="287"/>
      <c r="N17" s="287"/>
      <c r="O17" s="287"/>
      <c r="P17" s="287"/>
      <c r="Q17" s="287"/>
      <c r="R17" s="287"/>
      <c r="S17" s="287"/>
      <c r="T17" s="287"/>
      <c r="U17" s="287"/>
      <c r="V17" s="287"/>
      <c r="W17" s="287"/>
      <c r="X17" s="287"/>
      <c r="Y17" s="287"/>
      <c r="Z17" s="287"/>
      <c r="AA17" s="287"/>
      <c r="AB17" s="287"/>
      <c r="AC17" s="287"/>
      <c r="AD17" s="287"/>
      <c r="AE17" s="288"/>
      <c r="AF17" s="148" t="s">
        <v>76</v>
      </c>
      <c r="AG17" s="149"/>
      <c r="AH17" s="149"/>
      <c r="AI17" s="149"/>
      <c r="AJ17" s="150"/>
    </row>
    <row r="18" spans="1:36" ht="57.6" customHeight="1">
      <c r="A18" s="145"/>
      <c r="B18" s="146"/>
      <c r="C18" s="146"/>
      <c r="D18" s="147"/>
      <c r="E18" s="154" t="s">
        <v>101</v>
      </c>
      <c r="F18" s="155"/>
      <c r="G18" s="155"/>
      <c r="H18" s="155"/>
      <c r="I18" s="155"/>
      <c r="J18" s="156"/>
      <c r="K18" s="286" t="s">
        <v>114</v>
      </c>
      <c r="L18" s="287"/>
      <c r="M18" s="287"/>
      <c r="N18" s="287"/>
      <c r="O18" s="287"/>
      <c r="P18" s="287"/>
      <c r="Q18" s="287"/>
      <c r="R18" s="287"/>
      <c r="S18" s="287"/>
      <c r="T18" s="287"/>
      <c r="U18" s="287"/>
      <c r="V18" s="287"/>
      <c r="W18" s="287"/>
      <c r="X18" s="287"/>
      <c r="Y18" s="287"/>
      <c r="Z18" s="287"/>
      <c r="AA18" s="287"/>
      <c r="AB18" s="287"/>
      <c r="AC18" s="287"/>
      <c r="AD18" s="287"/>
      <c r="AE18" s="288"/>
      <c r="AF18" s="148" t="s">
        <v>77</v>
      </c>
      <c r="AG18" s="149"/>
      <c r="AH18" s="149"/>
      <c r="AI18" s="149"/>
      <c r="AJ18" s="150"/>
    </row>
    <row r="19" spans="1:36" ht="24.6" customHeight="1">
      <c r="A19" s="240" t="s">
        <v>3</v>
      </c>
      <c r="B19" s="241"/>
      <c r="C19" s="241"/>
      <c r="D19" s="241"/>
      <c r="E19" s="246" t="s">
        <v>189</v>
      </c>
      <c r="F19" s="247"/>
      <c r="G19" s="247"/>
      <c r="H19" s="247"/>
      <c r="I19" s="247"/>
      <c r="J19" s="248"/>
      <c r="K19" s="289" t="s">
        <v>115</v>
      </c>
      <c r="L19" s="290"/>
      <c r="M19" s="290"/>
      <c r="N19" s="290"/>
      <c r="O19" s="290"/>
      <c r="P19" s="290"/>
      <c r="Q19" s="290"/>
      <c r="R19" s="290"/>
      <c r="S19" s="290"/>
      <c r="T19" s="290"/>
      <c r="U19" s="290"/>
      <c r="V19" s="290"/>
      <c r="W19" s="290"/>
      <c r="X19" s="290"/>
      <c r="Y19" s="290"/>
      <c r="Z19" s="290"/>
      <c r="AA19" s="290"/>
      <c r="AB19" s="290"/>
      <c r="AC19" s="290"/>
      <c r="AD19" s="290"/>
      <c r="AE19" s="291"/>
      <c r="AF19" s="136" t="s">
        <v>2</v>
      </c>
      <c r="AG19" s="137"/>
      <c r="AH19" s="137"/>
      <c r="AI19" s="137"/>
      <c r="AJ19" s="138"/>
    </row>
    <row r="20" spans="1:36" ht="20.45" customHeight="1">
      <c r="A20" s="242"/>
      <c r="B20" s="243"/>
      <c r="C20" s="243"/>
      <c r="D20" s="243"/>
      <c r="E20" s="56" t="s">
        <v>100</v>
      </c>
      <c r="F20" s="69"/>
      <c r="G20" s="70"/>
      <c r="H20" s="69"/>
      <c r="I20" s="69"/>
      <c r="J20" s="71"/>
      <c r="K20" s="270" t="s">
        <v>116</v>
      </c>
      <c r="L20" s="271"/>
      <c r="M20" s="271"/>
      <c r="N20" s="271"/>
      <c r="O20" s="271"/>
      <c r="P20" s="271"/>
      <c r="Q20" s="271"/>
      <c r="R20" s="271"/>
      <c r="S20" s="271"/>
      <c r="T20" s="271"/>
      <c r="U20" s="271"/>
      <c r="V20" s="271"/>
      <c r="W20" s="271"/>
      <c r="X20" s="271"/>
      <c r="Y20" s="271"/>
      <c r="Z20" s="271"/>
      <c r="AA20" s="271"/>
      <c r="AB20" s="271"/>
      <c r="AC20" s="271"/>
      <c r="AD20" s="271"/>
      <c r="AE20" s="271"/>
      <c r="AF20" s="271"/>
      <c r="AG20" s="271"/>
      <c r="AH20" s="271"/>
      <c r="AI20" s="271"/>
      <c r="AJ20" s="292"/>
    </row>
    <row r="21" spans="1:36" ht="32.450000000000003" customHeight="1">
      <c r="A21" s="242"/>
      <c r="B21" s="243"/>
      <c r="C21" s="243"/>
      <c r="D21" s="243"/>
      <c r="E21" s="72" t="s">
        <v>4</v>
      </c>
      <c r="F21" s="73"/>
      <c r="G21" s="74"/>
      <c r="H21" s="74"/>
      <c r="I21" s="74"/>
      <c r="J21" s="75"/>
      <c r="K21" s="293" t="s">
        <v>117</v>
      </c>
      <c r="L21" s="294"/>
      <c r="M21" s="294"/>
      <c r="N21" s="294"/>
      <c r="O21" s="294"/>
      <c r="P21" s="294"/>
      <c r="Q21" s="294"/>
      <c r="R21" s="294"/>
      <c r="S21" s="294"/>
      <c r="T21" s="294"/>
      <c r="U21" s="294"/>
      <c r="V21" s="294"/>
      <c r="W21" s="294"/>
      <c r="X21" s="294"/>
      <c r="Y21" s="294"/>
      <c r="Z21" s="294"/>
      <c r="AA21" s="294"/>
      <c r="AB21" s="294"/>
      <c r="AC21" s="294"/>
      <c r="AD21" s="294"/>
      <c r="AE21" s="294"/>
      <c r="AF21" s="294"/>
      <c r="AG21" s="294"/>
      <c r="AH21" s="294"/>
      <c r="AI21" s="294"/>
      <c r="AJ21" s="295"/>
    </row>
    <row r="22" spans="1:36" ht="22.15" customHeight="1">
      <c r="A22" s="242"/>
      <c r="B22" s="243"/>
      <c r="C22" s="243"/>
      <c r="D22" s="243"/>
      <c r="E22" s="56" t="s">
        <v>187</v>
      </c>
      <c r="F22" s="69"/>
      <c r="G22" s="69"/>
      <c r="H22" s="69"/>
      <c r="I22" s="69"/>
      <c r="J22" s="71"/>
      <c r="K22" s="296" t="s">
        <v>118</v>
      </c>
      <c r="L22" s="297"/>
      <c r="M22" s="297"/>
      <c r="N22" s="297"/>
      <c r="O22" s="297"/>
      <c r="P22" s="297"/>
      <c r="Q22" s="297"/>
      <c r="R22" s="297"/>
      <c r="S22" s="297"/>
      <c r="T22" s="297"/>
      <c r="U22" s="297"/>
      <c r="V22" s="297"/>
      <c r="W22" s="297"/>
      <c r="X22" s="297"/>
      <c r="Y22" s="297"/>
      <c r="Z22" s="297"/>
      <c r="AA22" s="297"/>
      <c r="AB22" s="297"/>
      <c r="AC22" s="297"/>
      <c r="AD22" s="297"/>
      <c r="AE22" s="297"/>
      <c r="AF22" s="297"/>
      <c r="AG22" s="297"/>
      <c r="AH22" s="297"/>
      <c r="AI22" s="297"/>
      <c r="AJ22" s="298"/>
    </row>
    <row r="23" spans="1:36" ht="40.9" customHeight="1" thickBot="1">
      <c r="A23" s="244"/>
      <c r="B23" s="245"/>
      <c r="C23" s="245"/>
      <c r="D23" s="245"/>
      <c r="E23" s="76" t="s">
        <v>190</v>
      </c>
      <c r="F23" s="77"/>
      <c r="G23" s="77"/>
      <c r="H23" s="77"/>
      <c r="I23" s="77"/>
      <c r="J23" s="78"/>
      <c r="K23" s="299" t="s">
        <v>119</v>
      </c>
      <c r="L23" s="300"/>
      <c r="M23" s="300"/>
      <c r="N23" s="300"/>
      <c r="O23" s="300"/>
      <c r="P23" s="300"/>
      <c r="Q23" s="300"/>
      <c r="R23" s="300"/>
      <c r="S23" s="300"/>
      <c r="T23" s="300"/>
      <c r="U23" s="300"/>
      <c r="V23" s="300"/>
      <c r="W23" s="300"/>
      <c r="X23" s="300"/>
      <c r="Y23" s="300"/>
      <c r="Z23" s="300"/>
      <c r="AA23" s="300"/>
      <c r="AB23" s="300"/>
      <c r="AC23" s="300"/>
      <c r="AD23" s="300"/>
      <c r="AE23" s="300"/>
      <c r="AF23" s="300"/>
      <c r="AG23" s="300"/>
      <c r="AH23" s="300"/>
      <c r="AI23" s="300"/>
      <c r="AJ23" s="301"/>
    </row>
    <row r="24" spans="1:36">
      <c r="A24" s="37"/>
      <c r="B24" s="37"/>
      <c r="C24" s="37"/>
      <c r="D24" s="37"/>
      <c r="E24" s="37"/>
      <c r="F24" s="37"/>
      <c r="G24" s="37"/>
      <c r="H24" s="37"/>
      <c r="I24" s="37"/>
      <c r="J24" s="37"/>
      <c r="K24" s="157"/>
      <c r="L24" s="157"/>
      <c r="M24" s="157"/>
      <c r="N24" s="157"/>
      <c r="O24" s="157"/>
      <c r="P24" s="157"/>
      <c r="Q24" s="157"/>
      <c r="R24" s="157"/>
      <c r="S24" s="157"/>
      <c r="T24" s="157"/>
      <c r="U24" s="157"/>
      <c r="V24" s="157"/>
      <c r="W24" s="157"/>
      <c r="X24" s="157"/>
      <c r="Y24" s="157"/>
      <c r="Z24" s="157"/>
      <c r="AA24" s="157"/>
      <c r="AB24" s="157"/>
      <c r="AC24" s="157"/>
      <c r="AD24" s="157"/>
      <c r="AE24" s="157"/>
      <c r="AF24" s="157"/>
      <c r="AG24" s="157"/>
      <c r="AH24" s="157"/>
      <c r="AI24" s="157"/>
      <c r="AJ24" s="157"/>
    </row>
    <row r="25" spans="1:36" ht="21" hidden="1" customHeight="1" thickBot="1">
      <c r="A25" s="36" t="s">
        <v>5</v>
      </c>
      <c r="K25" s="158"/>
      <c r="L25" s="158"/>
      <c r="M25" s="158"/>
      <c r="N25" s="158"/>
      <c r="O25" s="158"/>
      <c r="P25" s="158"/>
      <c r="Q25" s="158"/>
      <c r="R25" s="158"/>
      <c r="S25" s="158"/>
      <c r="T25" s="158"/>
      <c r="U25" s="158"/>
      <c r="V25" s="158"/>
      <c r="W25" s="158"/>
      <c r="X25" s="158"/>
      <c r="Y25" s="158"/>
      <c r="Z25" s="158"/>
      <c r="AA25" s="158"/>
      <c r="AB25" s="158"/>
      <c r="AC25" s="158"/>
      <c r="AD25" s="158"/>
      <c r="AE25" s="158"/>
      <c r="AF25" s="158"/>
      <c r="AG25" s="158"/>
      <c r="AH25" s="158"/>
      <c r="AI25" s="158"/>
      <c r="AJ25" s="158"/>
    </row>
    <row r="26" spans="1:36" ht="54.6" hidden="1" customHeight="1">
      <c r="A26" s="171" t="s">
        <v>166</v>
      </c>
      <c r="B26" s="172"/>
      <c r="C26" s="172"/>
      <c r="D26" s="172"/>
      <c r="E26" s="172"/>
      <c r="F26" s="172"/>
      <c r="G26" s="172"/>
      <c r="H26" s="172"/>
      <c r="I26" s="172"/>
      <c r="J26" s="172"/>
      <c r="K26" s="173" t="s">
        <v>123</v>
      </c>
      <c r="L26" s="173"/>
      <c r="M26" s="173"/>
      <c r="N26" s="173"/>
      <c r="O26" s="173"/>
      <c r="P26" s="173"/>
      <c r="Q26" s="173"/>
      <c r="R26" s="173"/>
      <c r="S26" s="173"/>
      <c r="T26" s="173"/>
      <c r="U26" s="173"/>
      <c r="V26" s="173"/>
      <c r="W26" s="173"/>
      <c r="X26" s="173"/>
      <c r="Y26" s="173"/>
      <c r="Z26" s="173"/>
      <c r="AA26" s="173"/>
      <c r="AB26" s="173"/>
      <c r="AC26" s="174" t="s">
        <v>124</v>
      </c>
      <c r="AD26" s="174"/>
      <c r="AE26" s="174"/>
      <c r="AF26" s="174"/>
      <c r="AG26" s="174"/>
      <c r="AH26" s="174"/>
      <c r="AI26" s="174"/>
      <c r="AJ26" s="175"/>
    </row>
    <row r="27" spans="1:36" ht="54.6" hidden="1" customHeight="1" thickBot="1">
      <c r="A27" s="191" t="s">
        <v>6</v>
      </c>
      <c r="B27" s="192"/>
      <c r="C27" s="192"/>
      <c r="D27" s="192"/>
      <c r="E27" s="192"/>
      <c r="F27" s="192"/>
      <c r="G27" s="192"/>
      <c r="H27" s="192"/>
      <c r="I27" s="192"/>
      <c r="J27" s="192"/>
      <c r="K27" s="190" t="s">
        <v>120</v>
      </c>
      <c r="L27" s="190"/>
      <c r="M27" s="190"/>
      <c r="N27" s="190"/>
      <c r="O27" s="190"/>
      <c r="P27" s="190"/>
      <c r="Q27" s="190"/>
      <c r="R27" s="190"/>
      <c r="S27" s="190"/>
      <c r="T27" s="190"/>
      <c r="U27" s="190"/>
      <c r="V27" s="190"/>
      <c r="W27" s="190"/>
      <c r="X27" s="190"/>
      <c r="Y27" s="190"/>
      <c r="Z27" s="190"/>
      <c r="AA27" s="190"/>
      <c r="AB27" s="190"/>
      <c r="AC27" s="188" t="s">
        <v>7</v>
      </c>
      <c r="AD27" s="188"/>
      <c r="AE27" s="188"/>
      <c r="AF27" s="188"/>
      <c r="AG27" s="188"/>
      <c r="AH27" s="188"/>
      <c r="AI27" s="188"/>
      <c r="AJ27" s="189"/>
    </row>
    <row r="28" spans="1:36">
      <c r="A28" s="38"/>
      <c r="B28" s="38"/>
      <c r="C28" s="38"/>
      <c r="D28" s="38"/>
      <c r="E28" s="39"/>
      <c r="F28" s="39"/>
      <c r="G28" s="39"/>
      <c r="H28" s="39"/>
      <c r="I28" s="39"/>
      <c r="J28" s="39"/>
      <c r="K28" s="39"/>
      <c r="L28" s="39"/>
      <c r="M28" s="39"/>
      <c r="N28" s="39"/>
      <c r="O28" s="39"/>
      <c r="P28" s="39"/>
      <c r="Q28" s="39"/>
      <c r="R28" s="39"/>
      <c r="S28" s="39"/>
      <c r="T28" s="39"/>
      <c r="U28" s="39"/>
      <c r="V28" s="39"/>
      <c r="W28" s="39"/>
      <c r="X28" s="39"/>
      <c r="Y28" s="39"/>
      <c r="Z28" s="39"/>
      <c r="AA28" s="39"/>
      <c r="AB28" s="39"/>
      <c r="AC28" s="40"/>
      <c r="AD28" s="40"/>
      <c r="AE28" s="40"/>
      <c r="AF28" s="40"/>
      <c r="AG28" s="40"/>
      <c r="AH28" s="40"/>
      <c r="AI28" s="40"/>
      <c r="AJ28" s="40"/>
    </row>
    <row r="29" spans="1:36" ht="15" customHeight="1"/>
    <row r="30" spans="1:36" ht="82.9" customHeight="1"/>
    <row r="31" spans="1:36" ht="28.9" customHeight="1">
      <c r="G31" s="41"/>
    </row>
    <row r="32" spans="1:36" ht="28.9" customHeight="1">
      <c r="G32" s="41"/>
    </row>
    <row r="33" spans="1:28" ht="28.9" customHeight="1">
      <c r="G33" s="41"/>
    </row>
    <row r="34" spans="1:28">
      <c r="A34" s="41"/>
    </row>
    <row r="35" spans="1:28">
      <c r="A35" s="41"/>
    </row>
    <row r="36" spans="1:28">
      <c r="A36" s="41"/>
    </row>
    <row r="38" spans="1:28">
      <c r="A38" s="30" t="s">
        <v>8</v>
      </c>
    </row>
    <row r="39" spans="1:28" ht="13.15" customHeight="1">
      <c r="A39" s="255" t="s">
        <v>9</v>
      </c>
      <c r="B39" s="255"/>
      <c r="C39" s="42"/>
      <c r="D39" s="43"/>
      <c r="E39" s="176" t="s">
        <v>10</v>
      </c>
      <c r="F39" s="177"/>
      <c r="G39" s="177"/>
      <c r="H39" s="177"/>
      <c r="I39" s="177"/>
      <c r="J39" s="177"/>
      <c r="K39" s="177"/>
      <c r="L39" s="178"/>
      <c r="M39" s="249"/>
      <c r="N39" s="250"/>
      <c r="O39" s="250"/>
      <c r="P39" s="250"/>
      <c r="Q39" s="250"/>
      <c r="R39" s="250"/>
      <c r="S39" s="250"/>
      <c r="T39" s="250"/>
      <c r="U39" s="250"/>
      <c r="V39" s="250"/>
      <c r="W39" s="250"/>
      <c r="X39" s="250"/>
      <c r="Y39" s="250"/>
      <c r="Z39" s="250"/>
      <c r="AA39" s="250"/>
      <c r="AB39" s="251"/>
    </row>
    <row r="40" spans="1:28" ht="13.15" customHeight="1">
      <c r="A40" s="256"/>
      <c r="B40" s="256"/>
      <c r="C40" s="36"/>
      <c r="D40" s="44"/>
      <c r="E40" s="179"/>
      <c r="F40" s="180"/>
      <c r="G40" s="180"/>
      <c r="H40" s="180"/>
      <c r="I40" s="180"/>
      <c r="J40" s="180"/>
      <c r="K40" s="180"/>
      <c r="L40" s="181"/>
      <c r="M40" s="252"/>
      <c r="N40" s="253"/>
      <c r="O40" s="253"/>
      <c r="P40" s="253"/>
      <c r="Q40" s="253"/>
      <c r="R40" s="253"/>
      <c r="S40" s="253"/>
      <c r="T40" s="253"/>
      <c r="U40" s="253"/>
      <c r="V40" s="253"/>
      <c r="W40" s="253"/>
      <c r="X40" s="253"/>
      <c r="Y40" s="253"/>
      <c r="Z40" s="253"/>
      <c r="AA40" s="253"/>
      <c r="AB40" s="254"/>
    </row>
    <row r="41" spans="1:28" ht="13.5" customHeight="1">
      <c r="A41" s="256"/>
      <c r="B41" s="256"/>
      <c r="C41" s="36"/>
      <c r="D41" s="44"/>
      <c r="E41" s="176" t="s">
        <v>11</v>
      </c>
      <c r="F41" s="177"/>
      <c r="G41" s="177"/>
      <c r="H41" s="177"/>
      <c r="I41" s="177"/>
      <c r="J41" s="177"/>
      <c r="K41" s="177"/>
      <c r="L41" s="178"/>
      <c r="M41" s="182"/>
      <c r="N41" s="183"/>
      <c r="O41" s="183"/>
      <c r="P41" s="183"/>
      <c r="Q41" s="183"/>
      <c r="R41" s="183"/>
      <c r="S41" s="183"/>
      <c r="T41" s="183"/>
      <c r="U41" s="183"/>
      <c r="V41" s="183"/>
      <c r="W41" s="183"/>
      <c r="X41" s="183"/>
      <c r="Y41" s="183"/>
      <c r="Z41" s="183"/>
      <c r="AA41" s="183"/>
      <c r="AB41" s="184"/>
    </row>
    <row r="42" spans="1:28" ht="13.15" customHeight="1">
      <c r="A42" s="256"/>
      <c r="B42" s="256"/>
      <c r="C42" s="36"/>
      <c r="D42" s="44"/>
      <c r="E42" s="179"/>
      <c r="F42" s="180"/>
      <c r="G42" s="180"/>
      <c r="H42" s="180"/>
      <c r="I42" s="180"/>
      <c r="J42" s="180"/>
      <c r="K42" s="180"/>
      <c r="L42" s="181"/>
      <c r="M42" s="185"/>
      <c r="N42" s="186"/>
      <c r="O42" s="186"/>
      <c r="P42" s="186"/>
      <c r="Q42" s="186"/>
      <c r="R42" s="186"/>
      <c r="S42" s="186"/>
      <c r="T42" s="186"/>
      <c r="U42" s="186"/>
      <c r="V42" s="186"/>
      <c r="W42" s="186"/>
      <c r="X42" s="186"/>
      <c r="Y42" s="186"/>
      <c r="Z42" s="186"/>
      <c r="AA42" s="186"/>
      <c r="AB42" s="187"/>
    </row>
    <row r="43" spans="1:28" ht="13.15" customHeight="1">
      <c r="A43" s="256"/>
      <c r="B43" s="256"/>
      <c r="C43" s="234" t="s">
        <v>12</v>
      </c>
      <c r="D43" s="235"/>
      <c r="E43" s="176" t="s">
        <v>13</v>
      </c>
      <c r="F43" s="177"/>
      <c r="G43" s="177"/>
      <c r="H43" s="177"/>
      <c r="I43" s="177"/>
      <c r="J43" s="177"/>
      <c r="K43" s="177"/>
      <c r="L43" s="178"/>
      <c r="M43" s="182"/>
      <c r="N43" s="183"/>
      <c r="O43" s="183"/>
      <c r="P43" s="183"/>
      <c r="Q43" s="183"/>
      <c r="R43" s="183"/>
      <c r="S43" s="183"/>
      <c r="T43" s="183"/>
      <c r="U43" s="183"/>
      <c r="V43" s="183"/>
      <c r="W43" s="183"/>
      <c r="X43" s="183"/>
      <c r="Y43" s="183"/>
      <c r="Z43" s="183"/>
      <c r="AA43" s="183"/>
      <c r="AB43" s="184"/>
    </row>
    <row r="44" spans="1:28" ht="13.15" customHeight="1">
      <c r="A44" s="256"/>
      <c r="B44" s="256"/>
      <c r="C44" s="236"/>
      <c r="D44" s="237"/>
      <c r="E44" s="179"/>
      <c r="F44" s="180"/>
      <c r="G44" s="180"/>
      <c r="H44" s="180"/>
      <c r="I44" s="180"/>
      <c r="J44" s="180"/>
      <c r="K44" s="180"/>
      <c r="L44" s="181"/>
      <c r="M44" s="185"/>
      <c r="N44" s="186"/>
      <c r="O44" s="186"/>
      <c r="P44" s="186"/>
      <c r="Q44" s="186"/>
      <c r="R44" s="186"/>
      <c r="S44" s="186"/>
      <c r="T44" s="186"/>
      <c r="U44" s="186"/>
      <c r="V44" s="186"/>
      <c r="W44" s="186"/>
      <c r="X44" s="186"/>
      <c r="Y44" s="186"/>
      <c r="Z44" s="186"/>
      <c r="AA44" s="186"/>
      <c r="AB44" s="187"/>
    </row>
    <row r="45" spans="1:28" ht="13.15" customHeight="1">
      <c r="A45" s="256"/>
      <c r="B45" s="256"/>
      <c r="C45" s="236"/>
      <c r="D45" s="237"/>
      <c r="E45" s="176" t="s">
        <v>14</v>
      </c>
      <c r="F45" s="177"/>
      <c r="G45" s="177"/>
      <c r="H45" s="177"/>
      <c r="I45" s="177"/>
      <c r="J45" s="177"/>
      <c r="K45" s="177"/>
      <c r="L45" s="178"/>
      <c r="M45" s="182"/>
      <c r="N45" s="183"/>
      <c r="O45" s="183"/>
      <c r="P45" s="183"/>
      <c r="Q45" s="183"/>
      <c r="R45" s="183"/>
      <c r="S45" s="183"/>
      <c r="T45" s="183"/>
      <c r="U45" s="183"/>
      <c r="V45" s="183"/>
      <c r="W45" s="183"/>
      <c r="X45" s="183"/>
      <c r="Y45" s="183"/>
      <c r="Z45" s="183"/>
      <c r="AA45" s="183"/>
      <c r="AB45" s="184"/>
    </row>
    <row r="46" spans="1:28" ht="13.15" customHeight="1">
      <c r="A46" s="256"/>
      <c r="B46" s="256"/>
      <c r="C46" s="236"/>
      <c r="D46" s="237"/>
      <c r="E46" s="179"/>
      <c r="F46" s="180"/>
      <c r="G46" s="180"/>
      <c r="H46" s="180"/>
      <c r="I46" s="180"/>
      <c r="J46" s="180"/>
      <c r="K46" s="180"/>
      <c r="L46" s="181"/>
      <c r="M46" s="185"/>
      <c r="N46" s="186"/>
      <c r="O46" s="186"/>
      <c r="P46" s="186"/>
      <c r="Q46" s="186"/>
      <c r="R46" s="186"/>
      <c r="S46" s="186"/>
      <c r="T46" s="186"/>
      <c r="U46" s="186"/>
      <c r="V46" s="186"/>
      <c r="W46" s="186"/>
      <c r="X46" s="186"/>
      <c r="Y46" s="186"/>
      <c r="Z46" s="186"/>
      <c r="AA46" s="186"/>
      <c r="AB46" s="187"/>
    </row>
    <row r="47" spans="1:28" ht="13.15" customHeight="1">
      <c r="A47" s="256"/>
      <c r="B47" s="256"/>
      <c r="C47" s="236"/>
      <c r="D47" s="237"/>
      <c r="E47" s="176" t="s">
        <v>15</v>
      </c>
      <c r="F47" s="177"/>
      <c r="G47" s="177"/>
      <c r="H47" s="177"/>
      <c r="I47" s="177"/>
      <c r="J47" s="177"/>
      <c r="K47" s="177"/>
      <c r="L47" s="178"/>
      <c r="M47" s="182"/>
      <c r="N47" s="183"/>
      <c r="O47" s="183"/>
      <c r="P47" s="183"/>
      <c r="Q47" s="183"/>
      <c r="R47" s="183"/>
      <c r="S47" s="183"/>
      <c r="T47" s="183"/>
      <c r="U47" s="183"/>
      <c r="V47" s="183"/>
      <c r="W47" s="183"/>
      <c r="X47" s="183"/>
      <c r="Y47" s="183"/>
      <c r="Z47" s="183"/>
      <c r="AA47" s="183"/>
      <c r="AB47" s="184"/>
    </row>
    <row r="48" spans="1:28" ht="13.15" customHeight="1">
      <c r="A48" s="256"/>
      <c r="B48" s="256"/>
      <c r="C48" s="236"/>
      <c r="D48" s="237"/>
      <c r="E48" s="179"/>
      <c r="F48" s="180"/>
      <c r="G48" s="180"/>
      <c r="H48" s="180"/>
      <c r="I48" s="180"/>
      <c r="J48" s="180"/>
      <c r="K48" s="180"/>
      <c r="L48" s="181"/>
      <c r="M48" s="185"/>
      <c r="N48" s="186"/>
      <c r="O48" s="186"/>
      <c r="P48" s="186"/>
      <c r="Q48" s="186"/>
      <c r="R48" s="186"/>
      <c r="S48" s="186"/>
      <c r="T48" s="186"/>
      <c r="U48" s="186"/>
      <c r="V48" s="186"/>
      <c r="W48" s="186"/>
      <c r="X48" s="186"/>
      <c r="Y48" s="186"/>
      <c r="Z48" s="186"/>
      <c r="AA48" s="186"/>
      <c r="AB48" s="187"/>
    </row>
    <row r="49" spans="1:28" ht="13.15" customHeight="1">
      <c r="A49" s="256"/>
      <c r="B49" s="256"/>
      <c r="C49" s="236"/>
      <c r="D49" s="237"/>
      <c r="E49" s="176" t="s">
        <v>16</v>
      </c>
      <c r="F49" s="177"/>
      <c r="G49" s="177"/>
      <c r="H49" s="177"/>
      <c r="I49" s="177"/>
      <c r="J49" s="177"/>
      <c r="K49" s="177"/>
      <c r="L49" s="178"/>
      <c r="M49" s="233"/>
      <c r="N49" s="183"/>
      <c r="O49" s="183"/>
      <c r="P49" s="183"/>
      <c r="Q49" s="183"/>
      <c r="R49" s="183"/>
      <c r="S49" s="183"/>
      <c r="T49" s="183"/>
      <c r="U49" s="183"/>
      <c r="V49" s="183"/>
      <c r="W49" s="183"/>
      <c r="X49" s="183"/>
      <c r="Y49" s="183"/>
      <c r="Z49" s="183"/>
      <c r="AA49" s="183"/>
      <c r="AB49" s="184"/>
    </row>
    <row r="50" spans="1:28" ht="13.15" customHeight="1">
      <c r="A50" s="257"/>
      <c r="B50" s="257"/>
      <c r="C50" s="238"/>
      <c r="D50" s="239"/>
      <c r="E50" s="179"/>
      <c r="F50" s="180"/>
      <c r="G50" s="180"/>
      <c r="H50" s="180"/>
      <c r="I50" s="180"/>
      <c r="J50" s="180"/>
      <c r="K50" s="180"/>
      <c r="L50" s="181"/>
      <c r="M50" s="185"/>
      <c r="N50" s="186"/>
      <c r="O50" s="186"/>
      <c r="P50" s="186"/>
      <c r="Q50" s="186"/>
      <c r="R50" s="186"/>
      <c r="S50" s="186"/>
      <c r="T50" s="186"/>
      <c r="U50" s="186"/>
      <c r="V50" s="186"/>
      <c r="W50" s="186"/>
      <c r="X50" s="186"/>
      <c r="Y50" s="186"/>
      <c r="Z50" s="186"/>
      <c r="AA50" s="186"/>
      <c r="AB50" s="187"/>
    </row>
  </sheetData>
  <sheetProtection algorithmName="SHA-512" hashValue="iicIeJM4JF4xvcks/ZLx+8IPJKiJfbBcLSpP9B+imre0o/UWYYk/aV9ZY10NyVdGBNc1AXnfkzprLBKMlDAwcQ==" saltValue="UhDskfXqrktHuDa7vI7P6w==" spinCount="100000" sheet="1" selectLockedCells="1"/>
  <mergeCells count="57">
    <mergeCell ref="AF11:AJ11"/>
    <mergeCell ref="A11:I11"/>
    <mergeCell ref="A12:I12"/>
    <mergeCell ref="E49:L50"/>
    <mergeCell ref="M49:AB50"/>
    <mergeCell ref="E43:L44"/>
    <mergeCell ref="M43:AB44"/>
    <mergeCell ref="K20:AJ20"/>
    <mergeCell ref="K21:AJ21"/>
    <mergeCell ref="K22:AJ22"/>
    <mergeCell ref="K23:AJ23"/>
    <mergeCell ref="E47:L48"/>
    <mergeCell ref="M47:AB48"/>
    <mergeCell ref="K24:AJ25"/>
    <mergeCell ref="A27:J27"/>
    <mergeCell ref="K27:AB27"/>
    <mergeCell ref="AC27:AJ27"/>
    <mergeCell ref="A39:B50"/>
    <mergeCell ref="E39:L40"/>
    <mergeCell ref="M39:AB40"/>
    <mergeCell ref="E41:L42"/>
    <mergeCell ref="M41:AB42"/>
    <mergeCell ref="C43:D50"/>
    <mergeCell ref="AF15:AJ15"/>
    <mergeCell ref="AF16:AJ16"/>
    <mergeCell ref="E45:L46"/>
    <mergeCell ref="M45:AB46"/>
    <mergeCell ref="K18:AE18"/>
    <mergeCell ref="AF18:AJ18"/>
    <mergeCell ref="E17:J17"/>
    <mergeCell ref="K17:AE17"/>
    <mergeCell ref="AF17:AJ17"/>
    <mergeCell ref="A26:J26"/>
    <mergeCell ref="K26:AB26"/>
    <mergeCell ref="AC26:AJ26"/>
    <mergeCell ref="A19:D23"/>
    <mergeCell ref="E19:J19"/>
    <mergeCell ref="K19:AE19"/>
    <mergeCell ref="AF19:AJ19"/>
    <mergeCell ref="E18:J18"/>
    <mergeCell ref="K15:AE15"/>
    <mergeCell ref="A17:D18"/>
    <mergeCell ref="A1:AE2"/>
    <mergeCell ref="K12:AE12"/>
    <mergeCell ref="A15:I15"/>
    <mergeCell ref="K11:AE11"/>
    <mergeCell ref="AF5:AG5"/>
    <mergeCell ref="A6:AD6"/>
    <mergeCell ref="A10:J10"/>
    <mergeCell ref="K10:AE10"/>
    <mergeCell ref="AF10:AJ10"/>
    <mergeCell ref="AF12:AJ12"/>
    <mergeCell ref="A13:D14"/>
    <mergeCell ref="K13:AC13"/>
    <mergeCell ref="AF13:AJ14"/>
    <mergeCell ref="K14:AC14"/>
    <mergeCell ref="AD14:AE14"/>
  </mergeCells>
  <phoneticPr fontId="1"/>
  <dataValidations count="9">
    <dataValidation type="textLength" imeMode="disabled" allowBlank="1" showInputMessage="1" showErrorMessage="1" errorTitle="電話番号を記載ください" error="ハイフンは不要です" sqref="K19:AE19" xr:uid="{E7BAE35B-1126-4623-A3DE-3AB6165A45B8}">
      <formula1>10</formula1>
      <formula2>11</formula2>
    </dataValidation>
    <dataValidation type="custom" imeMode="disabled" allowBlank="1" showInputMessage="1" showErrorMessage="1" error=" 郵便番号を記載ください。ハイフン不要です。" sqref="K15:AE15" xr:uid="{1CF39BEF-D6A8-4A8D-AE9C-16AA530D4FB3}">
      <formula1>OR((LEN(K15)=7),(LEN(K15)=8))</formula1>
    </dataValidation>
    <dataValidation imeMode="halfAlpha" allowBlank="1" showInputMessage="1" showErrorMessage="1" sqref="M49:AB50" xr:uid="{2F7B3A57-5793-419D-B5CF-AB3B353B3B57}"/>
    <dataValidation type="whole" imeMode="disabled" allowBlank="1" showInputMessage="1" showErrorMessage="1" errorTitle="7桁の数字（半角）" error="BSの後ろの7桁の数字（半角）をご記入ください" sqref="K11:AE12" xr:uid="{27005DB6-94D7-471B-9E1B-36798024E78E}">
      <formula1>0</formula1>
      <formula2>9999999</formula2>
    </dataValidation>
    <dataValidation imeMode="hiragana" allowBlank="1" showInputMessage="1" showErrorMessage="1" sqref="K14:AC14 K21:AJ21 K23:AJ23 K17:AE18 M41:AB48" xr:uid="{DC40A476-2D3F-4514-8BDA-79AD6C62E045}"/>
    <dataValidation type="custom" imeMode="off" allowBlank="1" showInputMessage="1" showErrorMessage="1" error=" 郵便番号を記載ください。ハイフン不要です。" sqref="J15" xr:uid="{130D0033-440A-46C1-A65F-D35DE9C39328}">
      <formula1>OR((LEN(J15)=7),(LEN(J15)=8))</formula1>
    </dataValidation>
    <dataValidation imeMode="fullKatakana" allowBlank="1" showInputMessage="1" showErrorMessage="1" sqref="K20 K22:AJ22 K13:AC13" xr:uid="{08A44D88-F721-428C-8FB4-A1635699E41F}"/>
    <dataValidation imeMode="off" allowBlank="1" showInputMessage="1" showErrorMessage="1" sqref="K10:AE10" xr:uid="{FFA483CA-998C-4A93-8BE4-0929DE8234A7}"/>
    <dataValidation type="list" allowBlank="1" showInputMessage="1" showErrorMessage="1" sqref="K26:AB26" xr:uid="{78CDB466-62C5-4CB9-942C-60A245A87388}">
      <formula1>"スタンダードプラン,ダウンロードプラン"</formula1>
    </dataValidation>
  </dataValidations>
  <printOptions horizontalCentered="1"/>
  <pageMargins left="0.19685039370078741" right="0.15748031496062992" top="0.27559055118110237" bottom="0.35433070866141736" header="0.15748031496062992" footer="0.15748031496062992"/>
  <pageSetup paperSize="9" scale="62" orientation="portrait" r:id="rId1"/>
  <headerFooter alignWithMargins="0">
    <oddFooter>&amp;L&amp;6※ご記入いただきましたお客様の個人情報につきましては、弊社プライバシーポリシーに従い(https://www.ntt.com/about-us/hp/privacy.html)適正に取扱い致します。
&amp;R2022.07</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F63CA7A1-7FDA-4D9E-A71F-80ABCE7492FD}">
          <x14:formula1>
            <xm:f>'選択肢（隠す）変更'!$A$4:$A$6</xm:f>
          </x14:formula1>
          <xm:sqref>K27:AB27</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AECB94-10CA-4CE7-A86E-46F042B80A69}">
  <dimension ref="A1:S512"/>
  <sheetViews>
    <sheetView zoomScale="80" zoomScaleNormal="80" workbookViewId="0">
      <selection activeCell="E13" sqref="E13"/>
    </sheetView>
  </sheetViews>
  <sheetFormatPr defaultColWidth="11" defaultRowHeight="16.5"/>
  <cols>
    <col min="1" max="1" width="6.25" style="12" customWidth="1"/>
    <col min="2" max="2" width="9.125" style="12" bestFit="1" customWidth="1"/>
    <col min="3" max="3" width="9.125" style="12" hidden="1" customWidth="1"/>
    <col min="4" max="4" width="9.5" style="12" hidden="1" customWidth="1"/>
    <col min="5" max="5" width="23.5" style="12" customWidth="1"/>
    <col min="6" max="6" width="24.5" style="90" customWidth="1"/>
    <col min="7" max="7" width="22.5" style="12" hidden="1" customWidth="1"/>
    <col min="8" max="8" width="19.5" style="12" hidden="1" customWidth="1"/>
    <col min="9" max="9" width="15" style="12" hidden="1" customWidth="1"/>
    <col min="10" max="10" width="22.75" style="12" hidden="1" customWidth="1"/>
    <col min="11" max="11" width="10.5" style="12" hidden="1" customWidth="1"/>
    <col min="12" max="12" width="19.5" style="12" hidden="1" customWidth="1"/>
    <col min="13" max="13" width="11" style="12" hidden="1" customWidth="1"/>
    <col min="14" max="16384" width="11" style="12"/>
  </cols>
  <sheetData>
    <row r="1" spans="1:19" ht="24.75">
      <c r="A1" s="11" t="s">
        <v>82</v>
      </c>
    </row>
    <row r="2" spans="1:19" ht="58.9" customHeight="1">
      <c r="A2" s="80"/>
      <c r="B2" s="80"/>
      <c r="E2" s="264" t="s">
        <v>152</v>
      </c>
      <c r="F2" s="264"/>
      <c r="G2" s="264"/>
      <c r="H2" s="264"/>
      <c r="I2" s="264"/>
      <c r="J2" s="264"/>
      <c r="K2" s="264"/>
      <c r="L2" s="264"/>
      <c r="M2" s="264"/>
      <c r="N2" s="264"/>
      <c r="O2" s="264"/>
      <c r="P2" s="264"/>
      <c r="Q2" s="264"/>
      <c r="R2" s="264"/>
      <c r="S2" s="264"/>
    </row>
    <row r="3" spans="1:19" ht="21" customHeight="1">
      <c r="A3" s="11"/>
      <c r="E3" s="13" t="s">
        <v>186</v>
      </c>
    </row>
    <row r="4" spans="1:19" ht="24.75">
      <c r="A4" s="11"/>
      <c r="E4" s="265" t="s">
        <v>191</v>
      </c>
      <c r="F4" s="265"/>
      <c r="G4" s="265"/>
      <c r="H4" s="265"/>
      <c r="I4" s="265"/>
      <c r="J4" s="265"/>
      <c r="K4" s="265"/>
      <c r="L4" s="265"/>
      <c r="M4" s="265"/>
      <c r="N4" s="265"/>
      <c r="O4" s="265"/>
      <c r="P4" s="265"/>
      <c r="Q4" s="265"/>
      <c r="R4" s="265"/>
      <c r="S4" s="265"/>
    </row>
    <row r="5" spans="1:19" ht="21" customHeight="1">
      <c r="A5" s="11"/>
      <c r="E5" s="13" t="s">
        <v>99</v>
      </c>
    </row>
    <row r="6" spans="1:19" ht="57" customHeight="1">
      <c r="A6" s="11"/>
      <c r="C6" s="13"/>
      <c r="E6" s="266" t="s">
        <v>212</v>
      </c>
      <c r="F6" s="266"/>
      <c r="G6" s="266"/>
      <c r="H6" s="266"/>
      <c r="I6" s="266"/>
      <c r="J6" s="266"/>
      <c r="K6" s="266"/>
      <c r="L6" s="266"/>
      <c r="M6" s="266"/>
      <c r="N6" s="266"/>
      <c r="O6" s="266"/>
      <c r="P6" s="266"/>
      <c r="Q6" s="266"/>
      <c r="R6" s="266"/>
      <c r="S6" s="266"/>
    </row>
    <row r="7" spans="1:19" ht="17.25" thickBot="1">
      <c r="B7" s="126"/>
      <c r="C7" s="126"/>
      <c r="D7" s="126"/>
      <c r="E7" s="126"/>
      <c r="F7" s="126"/>
      <c r="G7" s="126"/>
      <c r="H7" s="126"/>
      <c r="I7" s="126"/>
      <c r="J7" s="126"/>
      <c r="K7" s="126"/>
      <c r="L7" s="126"/>
      <c r="M7" s="12" t="s">
        <v>83</v>
      </c>
    </row>
    <row r="8" spans="1:19" ht="112.9" customHeight="1">
      <c r="B8" s="14" t="s">
        <v>84</v>
      </c>
      <c r="C8" s="28" t="s">
        <v>95</v>
      </c>
      <c r="D8" s="14" t="s">
        <v>85</v>
      </c>
      <c r="E8" s="16" t="s">
        <v>144</v>
      </c>
      <c r="F8" s="81"/>
      <c r="G8" s="15" t="s">
        <v>145</v>
      </c>
      <c r="H8" s="260" t="s">
        <v>150</v>
      </c>
      <c r="I8" s="261"/>
      <c r="J8" s="16" t="s">
        <v>147</v>
      </c>
      <c r="K8" s="258" t="s">
        <v>151</v>
      </c>
      <c r="L8" s="259"/>
    </row>
    <row r="9" spans="1:19" s="17" customFormat="1" ht="54" customHeight="1" thickBot="1">
      <c r="B9" s="18" t="s">
        <v>86</v>
      </c>
      <c r="C9" s="29" t="s">
        <v>96</v>
      </c>
      <c r="D9" s="19" t="s">
        <v>87</v>
      </c>
      <c r="E9" s="89" t="s">
        <v>141</v>
      </c>
      <c r="F9" s="88" t="s">
        <v>140</v>
      </c>
      <c r="G9" s="18"/>
      <c r="H9" s="262" t="s">
        <v>146</v>
      </c>
      <c r="I9" s="263"/>
      <c r="J9" s="20" t="s">
        <v>148</v>
      </c>
      <c r="K9" s="21" t="s">
        <v>139</v>
      </c>
      <c r="L9" s="22" t="s">
        <v>149</v>
      </c>
      <c r="M9" s="12" t="s">
        <v>108</v>
      </c>
      <c r="N9" s="12"/>
      <c r="O9" s="12"/>
    </row>
    <row r="10" spans="1:19" s="17" customFormat="1" ht="21.6" customHeight="1">
      <c r="B10" s="23" t="s">
        <v>88</v>
      </c>
      <c r="C10" s="51" t="s">
        <v>106</v>
      </c>
      <c r="D10" s="24">
        <v>1</v>
      </c>
      <c r="E10" s="82" t="s">
        <v>89</v>
      </c>
      <c r="F10" s="91"/>
      <c r="G10" s="49"/>
      <c r="H10" s="95" t="s">
        <v>105</v>
      </c>
      <c r="I10" s="96">
        <v>12345</v>
      </c>
      <c r="J10" s="97" t="s">
        <v>94</v>
      </c>
      <c r="K10" s="98"/>
      <c r="L10" s="99"/>
      <c r="M10" s="12"/>
      <c r="N10" s="12"/>
      <c r="O10" s="12"/>
    </row>
    <row r="11" spans="1:19" s="17" customFormat="1" ht="21.6" customHeight="1">
      <c r="B11" s="25" t="s">
        <v>90</v>
      </c>
      <c r="C11" s="51" t="s">
        <v>106</v>
      </c>
      <c r="D11" s="24">
        <v>2</v>
      </c>
      <c r="E11" s="83" t="s">
        <v>91</v>
      </c>
      <c r="F11" s="92"/>
      <c r="G11" s="50"/>
      <c r="H11" s="95"/>
      <c r="I11" s="96"/>
      <c r="J11" s="97"/>
      <c r="K11" s="98" t="s">
        <v>92</v>
      </c>
      <c r="L11" s="100"/>
      <c r="M11" s="12"/>
      <c r="N11" s="12"/>
      <c r="O11" s="12"/>
    </row>
    <row r="12" spans="1:19" s="17" customFormat="1" ht="21.6" customHeight="1">
      <c r="B12" s="25" t="s">
        <v>93</v>
      </c>
      <c r="C12" s="51" t="s">
        <v>106</v>
      </c>
      <c r="D12" s="24">
        <v>3</v>
      </c>
      <c r="E12" s="83" t="s">
        <v>104</v>
      </c>
      <c r="F12" s="92"/>
      <c r="G12" s="50"/>
      <c r="H12" s="95"/>
      <c r="I12" s="96"/>
      <c r="J12" s="97"/>
      <c r="K12" s="98"/>
      <c r="L12" s="101"/>
      <c r="M12" s="12"/>
      <c r="N12" s="12"/>
      <c r="O12" s="12"/>
    </row>
    <row r="13" spans="1:19" ht="22.5">
      <c r="B13" s="26">
        <v>1</v>
      </c>
      <c r="C13" s="45"/>
      <c r="D13" s="46">
        <v>1</v>
      </c>
      <c r="E13" s="84">
        <v>1234123123</v>
      </c>
      <c r="F13" s="93" t="str">
        <f>IF(D13=FALSE,"←ご確認ください",IF(OR(D13=1,D13=2,D13=3),"形式OK",""))</f>
        <v>形式OK</v>
      </c>
      <c r="G13" s="52"/>
      <c r="H13" s="102" t="s">
        <v>121</v>
      </c>
      <c r="I13" s="102"/>
      <c r="J13" s="102" t="s">
        <v>94</v>
      </c>
      <c r="K13" s="103"/>
      <c r="L13" s="104"/>
      <c r="M13" s="12" t="b">
        <f t="shared" ref="M13:M76" si="0">IF(COUNTA(E13:G13)=0,FALSE,TRUE)</f>
        <v>1</v>
      </c>
    </row>
    <row r="14" spans="1:19" ht="22.5">
      <c r="B14" s="26">
        <v>2</v>
      </c>
      <c r="C14" s="45"/>
      <c r="D14" s="46">
        <v>2</v>
      </c>
      <c r="E14" s="84" t="s">
        <v>156</v>
      </c>
      <c r="F14" s="93" t="str">
        <f t="shared" ref="F14:F18" si="1">IF(D14=FALSE,"←ご確認ください",IF(OR(D14=1,D14=2,D14=3),"形式OK",""))</f>
        <v>形式OK</v>
      </c>
      <c r="G14" s="52"/>
      <c r="H14" s="102"/>
      <c r="I14" s="102"/>
      <c r="J14" s="102"/>
      <c r="K14" s="103" t="s">
        <v>92</v>
      </c>
      <c r="L14" s="105"/>
      <c r="M14" s="12" t="b">
        <f t="shared" si="0"/>
        <v>1</v>
      </c>
    </row>
    <row r="15" spans="1:19" ht="22.5">
      <c r="B15" s="26">
        <v>3</v>
      </c>
      <c r="C15" s="45"/>
      <c r="D15" s="47">
        <v>3</v>
      </c>
      <c r="E15" s="85" t="s">
        <v>122</v>
      </c>
      <c r="F15" s="93" t="str">
        <f t="shared" si="1"/>
        <v>形式OK</v>
      </c>
      <c r="G15" s="52"/>
      <c r="H15" s="102"/>
      <c r="I15" s="102"/>
      <c r="J15" s="102"/>
      <c r="K15" s="103"/>
      <c r="L15" s="105"/>
      <c r="M15" s="12" t="b">
        <f t="shared" si="0"/>
        <v>1</v>
      </c>
    </row>
    <row r="16" spans="1:19" ht="22.5">
      <c r="B16" s="26">
        <v>4</v>
      </c>
      <c r="C16" s="45"/>
      <c r="D16" s="47">
        <v>1</v>
      </c>
      <c r="E16" s="85" t="s">
        <v>153</v>
      </c>
      <c r="F16" s="93" t="str">
        <f t="shared" si="1"/>
        <v>形式OK</v>
      </c>
      <c r="G16" s="52"/>
      <c r="H16" s="102" t="s">
        <v>121</v>
      </c>
      <c r="I16" s="102"/>
      <c r="J16" s="102" t="s">
        <v>143</v>
      </c>
      <c r="K16" s="103"/>
      <c r="L16" s="105"/>
      <c r="M16" s="12" t="b">
        <f t="shared" si="0"/>
        <v>1</v>
      </c>
    </row>
    <row r="17" spans="2:13" ht="22.5">
      <c r="B17" s="26">
        <v>5</v>
      </c>
      <c r="C17" s="45"/>
      <c r="D17" s="47">
        <v>2</v>
      </c>
      <c r="E17" s="85" t="s">
        <v>154</v>
      </c>
      <c r="F17" s="93" t="str">
        <f t="shared" si="1"/>
        <v>形式OK</v>
      </c>
      <c r="G17" s="52"/>
      <c r="H17" s="102"/>
      <c r="I17" s="102"/>
      <c r="J17" s="102"/>
      <c r="K17" s="103" t="s">
        <v>92</v>
      </c>
      <c r="L17" s="105"/>
      <c r="M17" s="12" t="b">
        <f t="shared" si="0"/>
        <v>1</v>
      </c>
    </row>
    <row r="18" spans="2:13" ht="22.5">
      <c r="B18" s="26">
        <v>6</v>
      </c>
      <c r="C18" s="45"/>
      <c r="D18" s="47">
        <v>3</v>
      </c>
      <c r="E18" s="85" t="s">
        <v>155</v>
      </c>
      <c r="F18" s="93" t="str">
        <f t="shared" si="1"/>
        <v>形式OK</v>
      </c>
      <c r="G18" s="52"/>
      <c r="H18" s="102"/>
      <c r="I18" s="102"/>
      <c r="J18" s="102"/>
      <c r="K18" s="103"/>
      <c r="L18" s="105"/>
      <c r="M18" s="12" t="b">
        <f t="shared" si="0"/>
        <v>1</v>
      </c>
    </row>
    <row r="19" spans="2:13" ht="22.5">
      <c r="B19" s="26">
        <v>7</v>
      </c>
      <c r="C19" s="45"/>
      <c r="D19" s="47"/>
      <c r="E19" s="85"/>
      <c r="F19" s="93"/>
      <c r="G19" s="52"/>
      <c r="H19" s="102"/>
      <c r="I19" s="102"/>
      <c r="J19" s="102"/>
      <c r="K19" s="103"/>
      <c r="L19" s="105"/>
      <c r="M19" s="12" t="b">
        <f t="shared" si="0"/>
        <v>0</v>
      </c>
    </row>
    <row r="20" spans="2:13" ht="22.5">
      <c r="B20" s="26">
        <v>8</v>
      </c>
      <c r="C20" s="45"/>
      <c r="D20" s="47"/>
      <c r="E20" s="85"/>
      <c r="F20" s="93"/>
      <c r="G20" s="52"/>
      <c r="H20" s="102"/>
      <c r="I20" s="102"/>
      <c r="J20" s="102"/>
      <c r="K20" s="103"/>
      <c r="L20" s="105"/>
      <c r="M20" s="12" t="b">
        <f t="shared" si="0"/>
        <v>0</v>
      </c>
    </row>
    <row r="21" spans="2:13" ht="22.5">
      <c r="B21" s="26">
        <v>9</v>
      </c>
      <c r="C21" s="45"/>
      <c r="D21" s="47"/>
      <c r="E21" s="86"/>
      <c r="F21" s="93"/>
      <c r="G21" s="52"/>
      <c r="H21" s="102"/>
      <c r="I21" s="102"/>
      <c r="J21" s="102"/>
      <c r="K21" s="103"/>
      <c r="L21" s="105"/>
      <c r="M21" s="12" t="b">
        <f t="shared" si="0"/>
        <v>0</v>
      </c>
    </row>
    <row r="22" spans="2:13" ht="22.5">
      <c r="B22" s="26">
        <v>10</v>
      </c>
      <c r="C22" s="45"/>
      <c r="D22" s="47"/>
      <c r="E22" s="85"/>
      <c r="F22" s="93"/>
      <c r="G22" s="52"/>
      <c r="H22" s="102"/>
      <c r="I22" s="102"/>
      <c r="J22" s="102"/>
      <c r="K22" s="103"/>
      <c r="L22" s="105"/>
      <c r="M22" s="12" t="b">
        <f t="shared" si="0"/>
        <v>0</v>
      </c>
    </row>
    <row r="23" spans="2:13" ht="22.5">
      <c r="B23" s="26">
        <v>11</v>
      </c>
      <c r="C23" s="45"/>
      <c r="D23" s="47"/>
      <c r="E23" s="85"/>
      <c r="F23" s="93"/>
      <c r="G23" s="52"/>
      <c r="H23" s="102"/>
      <c r="I23" s="102"/>
      <c r="J23" s="102"/>
      <c r="K23" s="103"/>
      <c r="L23" s="105"/>
      <c r="M23" s="12" t="b">
        <f t="shared" si="0"/>
        <v>0</v>
      </c>
    </row>
    <row r="24" spans="2:13" ht="22.5">
      <c r="B24" s="26">
        <v>12</v>
      </c>
      <c r="C24" s="45"/>
      <c r="D24" s="47"/>
      <c r="E24" s="85"/>
      <c r="F24" s="93"/>
      <c r="G24" s="52"/>
      <c r="H24" s="102"/>
      <c r="I24" s="102"/>
      <c r="J24" s="102"/>
      <c r="K24" s="103"/>
      <c r="L24" s="105"/>
      <c r="M24" s="12" t="b">
        <f t="shared" si="0"/>
        <v>0</v>
      </c>
    </row>
    <row r="25" spans="2:13" ht="22.5">
      <c r="B25" s="26">
        <v>13</v>
      </c>
      <c r="C25" s="45"/>
      <c r="D25" s="47"/>
      <c r="E25" s="85"/>
      <c r="F25" s="93"/>
      <c r="G25" s="52"/>
      <c r="H25" s="102"/>
      <c r="I25" s="102"/>
      <c r="J25" s="102"/>
      <c r="K25" s="103"/>
      <c r="L25" s="105"/>
      <c r="M25" s="12" t="b">
        <f t="shared" si="0"/>
        <v>0</v>
      </c>
    </row>
    <row r="26" spans="2:13" ht="22.5">
      <c r="B26" s="26">
        <v>14</v>
      </c>
      <c r="C26" s="45"/>
      <c r="D26" s="47"/>
      <c r="E26" s="85"/>
      <c r="F26" s="93"/>
      <c r="G26" s="52"/>
      <c r="H26" s="102"/>
      <c r="I26" s="102"/>
      <c r="J26" s="102"/>
      <c r="K26" s="103"/>
      <c r="L26" s="105"/>
      <c r="M26" s="12" t="b">
        <f t="shared" si="0"/>
        <v>0</v>
      </c>
    </row>
    <row r="27" spans="2:13" ht="22.5">
      <c r="B27" s="26">
        <v>15</v>
      </c>
      <c r="C27" s="45"/>
      <c r="D27" s="47"/>
      <c r="E27" s="85"/>
      <c r="F27" s="93"/>
      <c r="G27" s="52"/>
      <c r="H27" s="102"/>
      <c r="I27" s="102"/>
      <c r="J27" s="102"/>
      <c r="K27" s="103"/>
      <c r="L27" s="105"/>
      <c r="M27" s="12" t="b">
        <f t="shared" si="0"/>
        <v>0</v>
      </c>
    </row>
    <row r="28" spans="2:13" ht="22.5">
      <c r="B28" s="26">
        <v>16</v>
      </c>
      <c r="C28" s="45"/>
      <c r="D28" s="47"/>
      <c r="E28" s="85"/>
      <c r="F28" s="93"/>
      <c r="G28" s="52"/>
      <c r="H28" s="102"/>
      <c r="I28" s="102"/>
      <c r="J28" s="102"/>
      <c r="K28" s="103"/>
      <c r="L28" s="105"/>
      <c r="M28" s="12" t="b">
        <f t="shared" si="0"/>
        <v>0</v>
      </c>
    </row>
    <row r="29" spans="2:13" ht="22.5">
      <c r="B29" s="26">
        <v>17</v>
      </c>
      <c r="C29" s="45"/>
      <c r="D29" s="47"/>
      <c r="E29" s="85"/>
      <c r="F29" s="93"/>
      <c r="G29" s="52"/>
      <c r="H29" s="102"/>
      <c r="I29" s="102"/>
      <c r="J29" s="102"/>
      <c r="K29" s="103"/>
      <c r="L29" s="105"/>
      <c r="M29" s="12" t="b">
        <f t="shared" si="0"/>
        <v>0</v>
      </c>
    </row>
    <row r="30" spans="2:13" ht="22.5">
      <c r="B30" s="26">
        <v>18</v>
      </c>
      <c r="C30" s="45"/>
      <c r="D30" s="47"/>
      <c r="E30" s="85"/>
      <c r="F30" s="93"/>
      <c r="G30" s="52"/>
      <c r="H30" s="102"/>
      <c r="I30" s="102"/>
      <c r="J30" s="102"/>
      <c r="K30" s="103"/>
      <c r="L30" s="105"/>
      <c r="M30" s="12" t="b">
        <f t="shared" si="0"/>
        <v>0</v>
      </c>
    </row>
    <row r="31" spans="2:13" ht="22.5">
      <c r="B31" s="26">
        <v>19</v>
      </c>
      <c r="C31" s="45"/>
      <c r="D31" s="47"/>
      <c r="E31" s="85"/>
      <c r="F31" s="93"/>
      <c r="G31" s="52"/>
      <c r="H31" s="102"/>
      <c r="I31" s="102"/>
      <c r="J31" s="102"/>
      <c r="K31" s="103"/>
      <c r="L31" s="105"/>
      <c r="M31" s="12" t="b">
        <f t="shared" si="0"/>
        <v>0</v>
      </c>
    </row>
    <row r="32" spans="2:13" ht="22.5">
      <c r="B32" s="26">
        <v>20</v>
      </c>
      <c r="C32" s="45"/>
      <c r="D32" s="47"/>
      <c r="E32" s="85"/>
      <c r="F32" s="93"/>
      <c r="G32" s="52"/>
      <c r="H32" s="102"/>
      <c r="I32" s="102"/>
      <c r="J32" s="102"/>
      <c r="K32" s="103"/>
      <c r="L32" s="105"/>
      <c r="M32" s="12" t="b">
        <f t="shared" si="0"/>
        <v>0</v>
      </c>
    </row>
    <row r="33" spans="2:13" ht="22.5">
      <c r="B33" s="26">
        <v>21</v>
      </c>
      <c r="C33" s="45"/>
      <c r="D33" s="47"/>
      <c r="E33" s="85"/>
      <c r="F33" s="93"/>
      <c r="G33" s="52"/>
      <c r="H33" s="102"/>
      <c r="I33" s="102"/>
      <c r="J33" s="102"/>
      <c r="K33" s="103"/>
      <c r="L33" s="105"/>
      <c r="M33" s="12" t="b">
        <f t="shared" si="0"/>
        <v>0</v>
      </c>
    </row>
    <row r="34" spans="2:13" ht="22.5">
      <c r="B34" s="26">
        <v>22</v>
      </c>
      <c r="C34" s="45"/>
      <c r="D34" s="47"/>
      <c r="E34" s="85"/>
      <c r="F34" s="93"/>
      <c r="G34" s="52"/>
      <c r="H34" s="102"/>
      <c r="I34" s="102"/>
      <c r="J34" s="102"/>
      <c r="K34" s="103"/>
      <c r="L34" s="105"/>
      <c r="M34" s="12" t="b">
        <f t="shared" si="0"/>
        <v>0</v>
      </c>
    </row>
    <row r="35" spans="2:13" ht="22.5">
      <c r="B35" s="26">
        <v>23</v>
      </c>
      <c r="C35" s="45"/>
      <c r="D35" s="47"/>
      <c r="E35" s="85"/>
      <c r="F35" s="93"/>
      <c r="G35" s="52"/>
      <c r="H35" s="102"/>
      <c r="I35" s="102"/>
      <c r="J35" s="102"/>
      <c r="K35" s="103"/>
      <c r="L35" s="105"/>
      <c r="M35" s="12" t="b">
        <f t="shared" si="0"/>
        <v>0</v>
      </c>
    </row>
    <row r="36" spans="2:13" ht="22.5">
      <c r="B36" s="26">
        <v>24</v>
      </c>
      <c r="C36" s="45"/>
      <c r="D36" s="47"/>
      <c r="E36" s="85"/>
      <c r="F36" s="93"/>
      <c r="G36" s="52"/>
      <c r="H36" s="102"/>
      <c r="I36" s="102"/>
      <c r="J36" s="102"/>
      <c r="K36" s="103"/>
      <c r="L36" s="105"/>
      <c r="M36" s="12" t="b">
        <f t="shared" si="0"/>
        <v>0</v>
      </c>
    </row>
    <row r="37" spans="2:13" ht="22.5">
      <c r="B37" s="26">
        <v>25</v>
      </c>
      <c r="C37" s="54"/>
      <c r="D37" s="46"/>
      <c r="E37" s="84"/>
      <c r="F37" s="93"/>
      <c r="G37" s="52"/>
      <c r="H37" s="106"/>
      <c r="I37" s="106"/>
      <c r="J37" s="106"/>
      <c r="K37" s="103"/>
      <c r="L37" s="107"/>
      <c r="M37" s="12" t="b">
        <f t="shared" si="0"/>
        <v>0</v>
      </c>
    </row>
    <row r="38" spans="2:13" ht="22.5">
      <c r="B38" s="26">
        <v>26</v>
      </c>
      <c r="C38" s="54"/>
      <c r="D38" s="46"/>
      <c r="E38" s="84"/>
      <c r="F38" s="93"/>
      <c r="G38" s="52"/>
      <c r="H38" s="106"/>
      <c r="I38" s="106"/>
      <c r="J38" s="106"/>
      <c r="K38" s="103"/>
      <c r="L38" s="107"/>
      <c r="M38" s="12" t="b">
        <f t="shared" si="0"/>
        <v>0</v>
      </c>
    </row>
    <row r="39" spans="2:13" ht="22.5">
      <c r="B39" s="26">
        <v>27</v>
      </c>
      <c r="C39" s="54"/>
      <c r="D39" s="46"/>
      <c r="E39" s="84"/>
      <c r="F39" s="93"/>
      <c r="G39" s="52"/>
      <c r="H39" s="106"/>
      <c r="I39" s="106"/>
      <c r="J39" s="106"/>
      <c r="K39" s="103"/>
      <c r="L39" s="107"/>
      <c r="M39" s="12" t="b">
        <f t="shared" si="0"/>
        <v>0</v>
      </c>
    </row>
    <row r="40" spans="2:13" ht="22.5">
      <c r="B40" s="26">
        <v>28</v>
      </c>
      <c r="C40" s="54"/>
      <c r="D40" s="46"/>
      <c r="E40" s="84"/>
      <c r="F40" s="93"/>
      <c r="G40" s="52"/>
      <c r="H40" s="106"/>
      <c r="I40" s="106"/>
      <c r="J40" s="106"/>
      <c r="K40" s="103"/>
      <c r="L40" s="107"/>
      <c r="M40" s="12" t="b">
        <f t="shared" si="0"/>
        <v>0</v>
      </c>
    </row>
    <row r="41" spans="2:13" ht="22.5">
      <c r="B41" s="26">
        <v>29</v>
      </c>
      <c r="C41" s="54"/>
      <c r="D41" s="46"/>
      <c r="E41" s="84"/>
      <c r="F41" s="93"/>
      <c r="G41" s="52"/>
      <c r="H41" s="106"/>
      <c r="I41" s="106"/>
      <c r="J41" s="106"/>
      <c r="K41" s="103"/>
      <c r="L41" s="107"/>
      <c r="M41" s="12" t="b">
        <f t="shared" si="0"/>
        <v>0</v>
      </c>
    </row>
    <row r="42" spans="2:13" ht="22.5">
      <c r="B42" s="26">
        <v>30</v>
      </c>
      <c r="C42" s="54"/>
      <c r="D42" s="46"/>
      <c r="E42" s="84"/>
      <c r="F42" s="93"/>
      <c r="G42" s="52"/>
      <c r="H42" s="106"/>
      <c r="I42" s="106"/>
      <c r="J42" s="106"/>
      <c r="K42" s="103"/>
      <c r="L42" s="107"/>
      <c r="M42" s="12" t="b">
        <f t="shared" si="0"/>
        <v>0</v>
      </c>
    </row>
    <row r="43" spans="2:13" ht="22.5">
      <c r="B43" s="26">
        <v>31</v>
      </c>
      <c r="C43" s="54"/>
      <c r="D43" s="46"/>
      <c r="E43" s="84"/>
      <c r="F43" s="93"/>
      <c r="G43" s="52"/>
      <c r="H43" s="106"/>
      <c r="I43" s="106"/>
      <c r="J43" s="106"/>
      <c r="K43" s="103"/>
      <c r="L43" s="107"/>
      <c r="M43" s="12" t="b">
        <f t="shared" si="0"/>
        <v>0</v>
      </c>
    </row>
    <row r="44" spans="2:13" ht="22.5">
      <c r="B44" s="26">
        <v>32</v>
      </c>
      <c r="C44" s="54"/>
      <c r="D44" s="46"/>
      <c r="E44" s="84"/>
      <c r="F44" s="93"/>
      <c r="G44" s="52"/>
      <c r="H44" s="106"/>
      <c r="I44" s="106"/>
      <c r="J44" s="106"/>
      <c r="K44" s="103"/>
      <c r="L44" s="107"/>
      <c r="M44" s="12" t="b">
        <f t="shared" si="0"/>
        <v>0</v>
      </c>
    </row>
    <row r="45" spans="2:13" ht="22.5">
      <c r="B45" s="26">
        <v>33</v>
      </c>
      <c r="C45" s="54"/>
      <c r="D45" s="46"/>
      <c r="E45" s="84"/>
      <c r="F45" s="93"/>
      <c r="G45" s="52"/>
      <c r="H45" s="106"/>
      <c r="I45" s="106"/>
      <c r="J45" s="106"/>
      <c r="K45" s="103"/>
      <c r="L45" s="107"/>
      <c r="M45" s="12" t="b">
        <f t="shared" si="0"/>
        <v>0</v>
      </c>
    </row>
    <row r="46" spans="2:13" ht="22.5">
      <c r="B46" s="26">
        <v>34</v>
      </c>
      <c r="C46" s="54"/>
      <c r="D46" s="46"/>
      <c r="E46" s="84"/>
      <c r="F46" s="93"/>
      <c r="G46" s="52"/>
      <c r="H46" s="106"/>
      <c r="I46" s="106"/>
      <c r="J46" s="106"/>
      <c r="K46" s="103"/>
      <c r="L46" s="107"/>
      <c r="M46" s="12" t="b">
        <f t="shared" si="0"/>
        <v>0</v>
      </c>
    </row>
    <row r="47" spans="2:13" ht="22.5">
      <c r="B47" s="26">
        <v>35</v>
      </c>
      <c r="C47" s="54"/>
      <c r="D47" s="46"/>
      <c r="E47" s="84"/>
      <c r="F47" s="93"/>
      <c r="G47" s="52"/>
      <c r="H47" s="106"/>
      <c r="I47" s="106"/>
      <c r="J47" s="106"/>
      <c r="K47" s="103"/>
      <c r="L47" s="107"/>
      <c r="M47" s="12" t="b">
        <f t="shared" si="0"/>
        <v>0</v>
      </c>
    </row>
    <row r="48" spans="2:13" ht="22.5">
      <c r="B48" s="26">
        <v>36</v>
      </c>
      <c r="C48" s="54"/>
      <c r="D48" s="46"/>
      <c r="E48" s="84"/>
      <c r="F48" s="93"/>
      <c r="G48" s="52"/>
      <c r="H48" s="106"/>
      <c r="I48" s="106"/>
      <c r="J48" s="106"/>
      <c r="K48" s="103"/>
      <c r="L48" s="107"/>
      <c r="M48" s="12" t="b">
        <f t="shared" si="0"/>
        <v>0</v>
      </c>
    </row>
    <row r="49" spans="2:13" ht="22.5">
      <c r="B49" s="26">
        <v>37</v>
      </c>
      <c r="C49" s="54"/>
      <c r="D49" s="46"/>
      <c r="E49" s="84"/>
      <c r="F49" s="93"/>
      <c r="G49" s="52"/>
      <c r="H49" s="106"/>
      <c r="I49" s="106"/>
      <c r="J49" s="106"/>
      <c r="K49" s="103"/>
      <c r="L49" s="107"/>
      <c r="M49" s="12" t="b">
        <f t="shared" si="0"/>
        <v>0</v>
      </c>
    </row>
    <row r="50" spans="2:13" ht="22.5">
      <c r="B50" s="26">
        <v>38</v>
      </c>
      <c r="C50" s="54"/>
      <c r="D50" s="46"/>
      <c r="E50" s="84"/>
      <c r="F50" s="93"/>
      <c r="G50" s="52"/>
      <c r="H50" s="106"/>
      <c r="I50" s="106"/>
      <c r="J50" s="106"/>
      <c r="K50" s="103"/>
      <c r="L50" s="107"/>
      <c r="M50" s="12" t="b">
        <f t="shared" si="0"/>
        <v>0</v>
      </c>
    </row>
    <row r="51" spans="2:13" ht="22.5">
      <c r="B51" s="26">
        <v>39</v>
      </c>
      <c r="C51" s="54"/>
      <c r="D51" s="46"/>
      <c r="E51" s="84"/>
      <c r="F51" s="93"/>
      <c r="G51" s="52"/>
      <c r="H51" s="106"/>
      <c r="I51" s="106"/>
      <c r="J51" s="106"/>
      <c r="K51" s="103"/>
      <c r="L51" s="107"/>
      <c r="M51" s="12" t="b">
        <f t="shared" si="0"/>
        <v>0</v>
      </c>
    </row>
    <row r="52" spans="2:13" ht="22.5">
      <c r="B52" s="26">
        <v>40</v>
      </c>
      <c r="C52" s="54"/>
      <c r="D52" s="46"/>
      <c r="E52" s="84"/>
      <c r="F52" s="93"/>
      <c r="G52" s="52"/>
      <c r="H52" s="106"/>
      <c r="I52" s="106"/>
      <c r="J52" s="106"/>
      <c r="K52" s="103"/>
      <c r="L52" s="107"/>
      <c r="M52" s="12" t="b">
        <f t="shared" si="0"/>
        <v>0</v>
      </c>
    </row>
    <row r="53" spans="2:13" ht="22.5">
      <c r="B53" s="26">
        <v>41</v>
      </c>
      <c r="C53" s="54"/>
      <c r="D53" s="46"/>
      <c r="E53" s="84"/>
      <c r="F53" s="93"/>
      <c r="G53" s="52"/>
      <c r="H53" s="106"/>
      <c r="I53" s="106"/>
      <c r="J53" s="106"/>
      <c r="K53" s="103"/>
      <c r="L53" s="107"/>
      <c r="M53" s="12" t="b">
        <f t="shared" si="0"/>
        <v>0</v>
      </c>
    </row>
    <row r="54" spans="2:13" ht="22.5">
      <c r="B54" s="26">
        <v>42</v>
      </c>
      <c r="C54" s="54"/>
      <c r="D54" s="46"/>
      <c r="E54" s="84"/>
      <c r="F54" s="93"/>
      <c r="G54" s="52"/>
      <c r="H54" s="106"/>
      <c r="I54" s="106"/>
      <c r="J54" s="106"/>
      <c r="K54" s="103"/>
      <c r="L54" s="107"/>
      <c r="M54" s="12" t="b">
        <f t="shared" si="0"/>
        <v>0</v>
      </c>
    </row>
    <row r="55" spans="2:13" ht="22.5">
      <c r="B55" s="26">
        <v>43</v>
      </c>
      <c r="C55" s="54"/>
      <c r="D55" s="46"/>
      <c r="E55" s="84"/>
      <c r="F55" s="93"/>
      <c r="G55" s="52"/>
      <c r="H55" s="106"/>
      <c r="I55" s="106"/>
      <c r="J55" s="106"/>
      <c r="K55" s="103"/>
      <c r="L55" s="107"/>
      <c r="M55" s="12" t="b">
        <f t="shared" si="0"/>
        <v>0</v>
      </c>
    </row>
    <row r="56" spans="2:13" ht="22.5">
      <c r="B56" s="26">
        <v>44</v>
      </c>
      <c r="C56" s="54"/>
      <c r="D56" s="46"/>
      <c r="E56" s="84"/>
      <c r="F56" s="93"/>
      <c r="G56" s="52"/>
      <c r="H56" s="106"/>
      <c r="I56" s="106"/>
      <c r="J56" s="106"/>
      <c r="K56" s="103"/>
      <c r="L56" s="107"/>
      <c r="M56" s="12" t="b">
        <f t="shared" si="0"/>
        <v>0</v>
      </c>
    </row>
    <row r="57" spans="2:13" ht="22.5">
      <c r="B57" s="26">
        <v>45</v>
      </c>
      <c r="C57" s="54"/>
      <c r="D57" s="46"/>
      <c r="E57" s="84"/>
      <c r="F57" s="93"/>
      <c r="G57" s="52"/>
      <c r="H57" s="106"/>
      <c r="I57" s="106"/>
      <c r="J57" s="106"/>
      <c r="K57" s="103"/>
      <c r="L57" s="107"/>
      <c r="M57" s="12" t="b">
        <f t="shared" si="0"/>
        <v>0</v>
      </c>
    </row>
    <row r="58" spans="2:13" ht="22.5">
      <c r="B58" s="26">
        <v>46</v>
      </c>
      <c r="C58" s="54"/>
      <c r="D58" s="46"/>
      <c r="E58" s="84"/>
      <c r="F58" s="93"/>
      <c r="G58" s="52"/>
      <c r="H58" s="106"/>
      <c r="I58" s="106"/>
      <c r="J58" s="106"/>
      <c r="K58" s="103"/>
      <c r="L58" s="107"/>
      <c r="M58" s="12" t="b">
        <f t="shared" si="0"/>
        <v>0</v>
      </c>
    </row>
    <row r="59" spans="2:13" ht="22.5">
      <c r="B59" s="26">
        <v>47</v>
      </c>
      <c r="C59" s="54"/>
      <c r="D59" s="46"/>
      <c r="E59" s="84"/>
      <c r="F59" s="93"/>
      <c r="G59" s="52"/>
      <c r="H59" s="106"/>
      <c r="I59" s="106"/>
      <c r="J59" s="106"/>
      <c r="K59" s="103"/>
      <c r="L59" s="107"/>
      <c r="M59" s="12" t="b">
        <f t="shared" si="0"/>
        <v>0</v>
      </c>
    </row>
    <row r="60" spans="2:13" ht="22.5">
      <c r="B60" s="26">
        <v>48</v>
      </c>
      <c r="C60" s="54"/>
      <c r="D60" s="46"/>
      <c r="E60" s="84"/>
      <c r="F60" s="93"/>
      <c r="G60" s="52"/>
      <c r="H60" s="106"/>
      <c r="I60" s="106"/>
      <c r="J60" s="106"/>
      <c r="K60" s="103"/>
      <c r="L60" s="107"/>
      <c r="M60" s="12" t="b">
        <f t="shared" si="0"/>
        <v>0</v>
      </c>
    </row>
    <row r="61" spans="2:13" ht="22.5">
      <c r="B61" s="26">
        <v>49</v>
      </c>
      <c r="C61" s="54"/>
      <c r="D61" s="46"/>
      <c r="E61" s="84"/>
      <c r="F61" s="93"/>
      <c r="G61" s="52"/>
      <c r="H61" s="106"/>
      <c r="I61" s="106"/>
      <c r="J61" s="106"/>
      <c r="K61" s="103"/>
      <c r="L61" s="107"/>
      <c r="M61" s="12" t="b">
        <f t="shared" si="0"/>
        <v>0</v>
      </c>
    </row>
    <row r="62" spans="2:13" ht="22.5">
      <c r="B62" s="26">
        <v>50</v>
      </c>
      <c r="C62" s="54"/>
      <c r="D62" s="46"/>
      <c r="E62" s="84"/>
      <c r="F62" s="93"/>
      <c r="G62" s="52"/>
      <c r="H62" s="106"/>
      <c r="I62" s="106"/>
      <c r="J62" s="106"/>
      <c r="K62" s="103"/>
      <c r="L62" s="107"/>
      <c r="M62" s="12" t="b">
        <f t="shared" si="0"/>
        <v>0</v>
      </c>
    </row>
    <row r="63" spans="2:13" ht="22.5">
      <c r="B63" s="26">
        <v>51</v>
      </c>
      <c r="C63" s="54"/>
      <c r="D63" s="46"/>
      <c r="E63" s="84"/>
      <c r="F63" s="93"/>
      <c r="G63" s="52"/>
      <c r="H63" s="106"/>
      <c r="I63" s="106"/>
      <c r="J63" s="106"/>
      <c r="K63" s="103"/>
      <c r="L63" s="107"/>
      <c r="M63" s="12" t="b">
        <f t="shared" si="0"/>
        <v>0</v>
      </c>
    </row>
    <row r="64" spans="2:13" ht="22.5">
      <c r="B64" s="26">
        <v>52</v>
      </c>
      <c r="C64" s="54"/>
      <c r="D64" s="46"/>
      <c r="E64" s="84"/>
      <c r="F64" s="93"/>
      <c r="G64" s="52"/>
      <c r="H64" s="106"/>
      <c r="I64" s="106"/>
      <c r="J64" s="106"/>
      <c r="K64" s="103"/>
      <c r="L64" s="107"/>
      <c r="M64" s="12" t="b">
        <f t="shared" si="0"/>
        <v>0</v>
      </c>
    </row>
    <row r="65" spans="2:13" ht="22.5">
      <c r="B65" s="26">
        <v>53</v>
      </c>
      <c r="C65" s="54"/>
      <c r="D65" s="46"/>
      <c r="E65" s="84"/>
      <c r="F65" s="93"/>
      <c r="G65" s="52"/>
      <c r="H65" s="106"/>
      <c r="I65" s="106"/>
      <c r="J65" s="106"/>
      <c r="K65" s="103"/>
      <c r="L65" s="107"/>
      <c r="M65" s="12" t="b">
        <f t="shared" si="0"/>
        <v>0</v>
      </c>
    </row>
    <row r="66" spans="2:13" ht="22.5">
      <c r="B66" s="26">
        <v>54</v>
      </c>
      <c r="C66" s="54"/>
      <c r="D66" s="46"/>
      <c r="E66" s="84"/>
      <c r="F66" s="93"/>
      <c r="G66" s="52"/>
      <c r="H66" s="106"/>
      <c r="I66" s="106"/>
      <c r="J66" s="106"/>
      <c r="K66" s="103"/>
      <c r="L66" s="107"/>
      <c r="M66" s="12" t="b">
        <f t="shared" si="0"/>
        <v>0</v>
      </c>
    </row>
    <row r="67" spans="2:13" ht="22.5">
      <c r="B67" s="26">
        <v>55</v>
      </c>
      <c r="C67" s="54"/>
      <c r="D67" s="46"/>
      <c r="E67" s="84"/>
      <c r="F67" s="93"/>
      <c r="G67" s="52"/>
      <c r="H67" s="106"/>
      <c r="I67" s="106"/>
      <c r="J67" s="106"/>
      <c r="K67" s="103"/>
      <c r="L67" s="107"/>
      <c r="M67" s="12" t="b">
        <f t="shared" si="0"/>
        <v>0</v>
      </c>
    </row>
    <row r="68" spans="2:13" ht="22.5">
      <c r="B68" s="26">
        <v>56</v>
      </c>
      <c r="C68" s="54"/>
      <c r="D68" s="46"/>
      <c r="E68" s="84"/>
      <c r="F68" s="93"/>
      <c r="G68" s="52"/>
      <c r="H68" s="106"/>
      <c r="I68" s="106"/>
      <c r="J68" s="106"/>
      <c r="K68" s="103"/>
      <c r="L68" s="107"/>
      <c r="M68" s="12" t="b">
        <f t="shared" si="0"/>
        <v>0</v>
      </c>
    </row>
    <row r="69" spans="2:13" ht="22.5">
      <c r="B69" s="26">
        <v>57</v>
      </c>
      <c r="C69" s="54"/>
      <c r="D69" s="46"/>
      <c r="E69" s="84"/>
      <c r="F69" s="93"/>
      <c r="G69" s="52"/>
      <c r="H69" s="106"/>
      <c r="I69" s="106"/>
      <c r="J69" s="106"/>
      <c r="K69" s="103"/>
      <c r="L69" s="107"/>
      <c r="M69" s="12" t="b">
        <f t="shared" si="0"/>
        <v>0</v>
      </c>
    </row>
    <row r="70" spans="2:13" ht="22.5">
      <c r="B70" s="26">
        <v>58</v>
      </c>
      <c r="C70" s="54"/>
      <c r="D70" s="46"/>
      <c r="E70" s="84"/>
      <c r="F70" s="93"/>
      <c r="G70" s="52"/>
      <c r="H70" s="106"/>
      <c r="I70" s="106"/>
      <c r="J70" s="106"/>
      <c r="K70" s="103"/>
      <c r="L70" s="107"/>
      <c r="M70" s="12" t="b">
        <f t="shared" si="0"/>
        <v>0</v>
      </c>
    </row>
    <row r="71" spans="2:13" ht="22.5">
      <c r="B71" s="26">
        <v>59</v>
      </c>
      <c r="C71" s="54"/>
      <c r="D71" s="46"/>
      <c r="E71" s="84"/>
      <c r="F71" s="93"/>
      <c r="G71" s="52"/>
      <c r="H71" s="106"/>
      <c r="I71" s="106"/>
      <c r="J71" s="106"/>
      <c r="K71" s="103"/>
      <c r="L71" s="107"/>
      <c r="M71" s="12" t="b">
        <f t="shared" si="0"/>
        <v>0</v>
      </c>
    </row>
    <row r="72" spans="2:13" ht="22.5">
      <c r="B72" s="26">
        <v>60</v>
      </c>
      <c r="C72" s="54"/>
      <c r="D72" s="46"/>
      <c r="E72" s="84"/>
      <c r="F72" s="93"/>
      <c r="G72" s="52"/>
      <c r="H72" s="106"/>
      <c r="I72" s="106"/>
      <c r="J72" s="106"/>
      <c r="K72" s="103"/>
      <c r="L72" s="107"/>
      <c r="M72" s="12" t="b">
        <f t="shared" si="0"/>
        <v>0</v>
      </c>
    </row>
    <row r="73" spans="2:13" ht="22.5">
      <c r="B73" s="26">
        <v>61</v>
      </c>
      <c r="C73" s="54"/>
      <c r="D73" s="46"/>
      <c r="E73" s="84"/>
      <c r="F73" s="93"/>
      <c r="G73" s="52"/>
      <c r="H73" s="106"/>
      <c r="I73" s="106"/>
      <c r="J73" s="106"/>
      <c r="K73" s="103"/>
      <c r="L73" s="107"/>
      <c r="M73" s="12" t="b">
        <f t="shared" si="0"/>
        <v>0</v>
      </c>
    </row>
    <row r="74" spans="2:13" ht="22.5">
      <c r="B74" s="26">
        <v>62</v>
      </c>
      <c r="C74" s="54"/>
      <c r="D74" s="46"/>
      <c r="E74" s="84"/>
      <c r="F74" s="93"/>
      <c r="G74" s="52"/>
      <c r="H74" s="106"/>
      <c r="I74" s="106"/>
      <c r="J74" s="106"/>
      <c r="K74" s="103"/>
      <c r="L74" s="107"/>
      <c r="M74" s="12" t="b">
        <f t="shared" si="0"/>
        <v>0</v>
      </c>
    </row>
    <row r="75" spans="2:13" ht="22.5">
      <c r="B75" s="26">
        <v>63</v>
      </c>
      <c r="C75" s="54"/>
      <c r="D75" s="46"/>
      <c r="E75" s="84"/>
      <c r="F75" s="93"/>
      <c r="G75" s="52"/>
      <c r="H75" s="106"/>
      <c r="I75" s="106"/>
      <c r="J75" s="106"/>
      <c r="K75" s="103"/>
      <c r="L75" s="107"/>
      <c r="M75" s="12" t="b">
        <f t="shared" si="0"/>
        <v>0</v>
      </c>
    </row>
    <row r="76" spans="2:13" ht="22.5">
      <c r="B76" s="26">
        <v>64</v>
      </c>
      <c r="C76" s="54"/>
      <c r="D76" s="46"/>
      <c r="E76" s="84"/>
      <c r="F76" s="93"/>
      <c r="G76" s="52"/>
      <c r="H76" s="106"/>
      <c r="I76" s="106"/>
      <c r="J76" s="106"/>
      <c r="K76" s="103"/>
      <c r="L76" s="107"/>
      <c r="M76" s="12" t="b">
        <f t="shared" si="0"/>
        <v>0</v>
      </c>
    </row>
    <row r="77" spans="2:13" ht="22.5">
      <c r="B77" s="26">
        <v>65</v>
      </c>
      <c r="C77" s="54"/>
      <c r="D77" s="46"/>
      <c r="E77" s="84"/>
      <c r="F77" s="93"/>
      <c r="G77" s="52"/>
      <c r="H77" s="106"/>
      <c r="I77" s="106"/>
      <c r="J77" s="106"/>
      <c r="K77" s="103"/>
      <c r="L77" s="107"/>
      <c r="M77" s="12" t="b">
        <f t="shared" ref="M77:M140" si="2">IF(COUNTA(E77:G77)=0,FALSE,TRUE)</f>
        <v>0</v>
      </c>
    </row>
    <row r="78" spans="2:13" ht="22.5">
      <c r="B78" s="26">
        <v>66</v>
      </c>
      <c r="C78" s="54"/>
      <c r="D78" s="46"/>
      <c r="E78" s="84"/>
      <c r="F78" s="93"/>
      <c r="G78" s="52"/>
      <c r="H78" s="106"/>
      <c r="I78" s="106"/>
      <c r="J78" s="106"/>
      <c r="K78" s="103"/>
      <c r="L78" s="107"/>
      <c r="M78" s="12" t="b">
        <f t="shared" si="2"/>
        <v>0</v>
      </c>
    </row>
    <row r="79" spans="2:13" ht="22.5">
      <c r="B79" s="26">
        <v>67</v>
      </c>
      <c r="C79" s="54"/>
      <c r="D79" s="46"/>
      <c r="E79" s="84"/>
      <c r="F79" s="93"/>
      <c r="G79" s="52"/>
      <c r="H79" s="106"/>
      <c r="I79" s="106"/>
      <c r="J79" s="106"/>
      <c r="K79" s="103"/>
      <c r="L79" s="107"/>
      <c r="M79" s="12" t="b">
        <f t="shared" si="2"/>
        <v>0</v>
      </c>
    </row>
    <row r="80" spans="2:13" ht="22.5">
      <c r="B80" s="26">
        <v>68</v>
      </c>
      <c r="C80" s="54"/>
      <c r="D80" s="46"/>
      <c r="E80" s="84"/>
      <c r="F80" s="93"/>
      <c r="G80" s="52"/>
      <c r="H80" s="106"/>
      <c r="I80" s="106"/>
      <c r="J80" s="106"/>
      <c r="K80" s="103"/>
      <c r="L80" s="107"/>
      <c r="M80" s="12" t="b">
        <f t="shared" si="2"/>
        <v>0</v>
      </c>
    </row>
    <row r="81" spans="2:13" ht="22.5">
      <c r="B81" s="26">
        <v>69</v>
      </c>
      <c r="C81" s="54"/>
      <c r="D81" s="46"/>
      <c r="E81" s="84"/>
      <c r="F81" s="93"/>
      <c r="G81" s="52"/>
      <c r="H81" s="106"/>
      <c r="I81" s="106"/>
      <c r="J81" s="106"/>
      <c r="K81" s="103"/>
      <c r="L81" s="107"/>
      <c r="M81" s="12" t="b">
        <f t="shared" si="2"/>
        <v>0</v>
      </c>
    </row>
    <row r="82" spans="2:13" ht="22.5">
      <c r="B82" s="26">
        <v>70</v>
      </c>
      <c r="C82" s="54"/>
      <c r="D82" s="46"/>
      <c r="E82" s="84"/>
      <c r="F82" s="93"/>
      <c r="G82" s="52"/>
      <c r="H82" s="106"/>
      <c r="I82" s="106"/>
      <c r="J82" s="106"/>
      <c r="K82" s="103"/>
      <c r="L82" s="107"/>
      <c r="M82" s="12" t="b">
        <f t="shared" si="2"/>
        <v>0</v>
      </c>
    </row>
    <row r="83" spans="2:13" ht="22.5">
      <c r="B83" s="26">
        <v>71</v>
      </c>
      <c r="C83" s="54"/>
      <c r="D83" s="46"/>
      <c r="E83" s="84"/>
      <c r="F83" s="93"/>
      <c r="G83" s="52"/>
      <c r="H83" s="106"/>
      <c r="I83" s="106"/>
      <c r="J83" s="106"/>
      <c r="K83" s="103"/>
      <c r="L83" s="107"/>
      <c r="M83" s="12" t="b">
        <f t="shared" si="2"/>
        <v>0</v>
      </c>
    </row>
    <row r="84" spans="2:13" ht="22.5">
      <c r="B84" s="26">
        <v>72</v>
      </c>
      <c r="C84" s="54"/>
      <c r="D84" s="46"/>
      <c r="E84" s="84"/>
      <c r="F84" s="93"/>
      <c r="G84" s="52"/>
      <c r="H84" s="106"/>
      <c r="I84" s="106"/>
      <c r="J84" s="106"/>
      <c r="K84" s="103"/>
      <c r="L84" s="107"/>
      <c r="M84" s="12" t="b">
        <f t="shared" si="2"/>
        <v>0</v>
      </c>
    </row>
    <row r="85" spans="2:13" ht="22.5">
      <c r="B85" s="26">
        <v>73</v>
      </c>
      <c r="C85" s="54"/>
      <c r="D85" s="46"/>
      <c r="E85" s="84"/>
      <c r="F85" s="93"/>
      <c r="G85" s="52"/>
      <c r="H85" s="106"/>
      <c r="I85" s="106"/>
      <c r="J85" s="106"/>
      <c r="K85" s="103"/>
      <c r="L85" s="107"/>
      <c r="M85" s="12" t="b">
        <f t="shared" si="2"/>
        <v>0</v>
      </c>
    </row>
    <row r="86" spans="2:13" ht="22.5">
      <c r="B86" s="26">
        <v>74</v>
      </c>
      <c r="C86" s="54"/>
      <c r="D86" s="46"/>
      <c r="E86" s="84"/>
      <c r="F86" s="93"/>
      <c r="G86" s="52"/>
      <c r="H86" s="106"/>
      <c r="I86" s="106"/>
      <c r="J86" s="106"/>
      <c r="K86" s="103"/>
      <c r="L86" s="107"/>
      <c r="M86" s="12" t="b">
        <f t="shared" si="2"/>
        <v>0</v>
      </c>
    </row>
    <row r="87" spans="2:13" ht="22.5">
      <c r="B87" s="26">
        <v>75</v>
      </c>
      <c r="C87" s="54"/>
      <c r="D87" s="46"/>
      <c r="E87" s="84"/>
      <c r="F87" s="93"/>
      <c r="G87" s="52"/>
      <c r="H87" s="106"/>
      <c r="I87" s="106"/>
      <c r="J87" s="106"/>
      <c r="K87" s="103"/>
      <c r="L87" s="107"/>
      <c r="M87" s="12" t="b">
        <f t="shared" si="2"/>
        <v>0</v>
      </c>
    </row>
    <row r="88" spans="2:13" ht="22.5">
      <c r="B88" s="26">
        <v>76</v>
      </c>
      <c r="C88" s="54"/>
      <c r="D88" s="46"/>
      <c r="E88" s="84"/>
      <c r="F88" s="93"/>
      <c r="G88" s="52"/>
      <c r="H88" s="106"/>
      <c r="I88" s="106"/>
      <c r="J88" s="106"/>
      <c r="K88" s="103"/>
      <c r="L88" s="107"/>
      <c r="M88" s="12" t="b">
        <f t="shared" si="2"/>
        <v>0</v>
      </c>
    </row>
    <row r="89" spans="2:13" ht="22.5">
      <c r="B89" s="26">
        <v>77</v>
      </c>
      <c r="C89" s="54"/>
      <c r="D89" s="46"/>
      <c r="E89" s="84"/>
      <c r="F89" s="93"/>
      <c r="G89" s="52"/>
      <c r="H89" s="106"/>
      <c r="I89" s="106"/>
      <c r="J89" s="106"/>
      <c r="K89" s="103"/>
      <c r="L89" s="107"/>
      <c r="M89" s="12" t="b">
        <f t="shared" si="2"/>
        <v>0</v>
      </c>
    </row>
    <row r="90" spans="2:13" ht="22.5">
      <c r="B90" s="26">
        <v>78</v>
      </c>
      <c r="C90" s="54"/>
      <c r="D90" s="46"/>
      <c r="E90" s="84"/>
      <c r="F90" s="93"/>
      <c r="G90" s="52"/>
      <c r="H90" s="106"/>
      <c r="I90" s="106"/>
      <c r="J90" s="106"/>
      <c r="K90" s="103"/>
      <c r="L90" s="107"/>
      <c r="M90" s="12" t="b">
        <f t="shared" si="2"/>
        <v>0</v>
      </c>
    </row>
    <row r="91" spans="2:13" ht="22.5">
      <c r="B91" s="26">
        <v>79</v>
      </c>
      <c r="C91" s="54"/>
      <c r="D91" s="46"/>
      <c r="E91" s="84"/>
      <c r="F91" s="93"/>
      <c r="G91" s="52"/>
      <c r="H91" s="106"/>
      <c r="I91" s="106"/>
      <c r="J91" s="106"/>
      <c r="K91" s="103"/>
      <c r="L91" s="107"/>
      <c r="M91" s="12" t="b">
        <f t="shared" si="2"/>
        <v>0</v>
      </c>
    </row>
    <row r="92" spans="2:13" ht="22.5">
      <c r="B92" s="26">
        <v>80</v>
      </c>
      <c r="C92" s="54"/>
      <c r="D92" s="46"/>
      <c r="E92" s="84"/>
      <c r="F92" s="93"/>
      <c r="G92" s="52"/>
      <c r="H92" s="106"/>
      <c r="I92" s="106"/>
      <c r="J92" s="106"/>
      <c r="K92" s="103"/>
      <c r="L92" s="107"/>
      <c r="M92" s="12" t="b">
        <f t="shared" si="2"/>
        <v>0</v>
      </c>
    </row>
    <row r="93" spans="2:13" ht="22.5">
      <c r="B93" s="26">
        <v>81</v>
      </c>
      <c r="C93" s="54"/>
      <c r="D93" s="46"/>
      <c r="E93" s="84"/>
      <c r="F93" s="93"/>
      <c r="G93" s="52"/>
      <c r="H93" s="106"/>
      <c r="I93" s="106"/>
      <c r="J93" s="106"/>
      <c r="K93" s="103"/>
      <c r="L93" s="107"/>
      <c r="M93" s="12" t="b">
        <f t="shared" si="2"/>
        <v>0</v>
      </c>
    </row>
    <row r="94" spans="2:13" ht="22.5">
      <c r="B94" s="26">
        <v>82</v>
      </c>
      <c r="C94" s="54"/>
      <c r="D94" s="46"/>
      <c r="E94" s="84"/>
      <c r="F94" s="93"/>
      <c r="G94" s="52"/>
      <c r="H94" s="106"/>
      <c r="I94" s="106"/>
      <c r="J94" s="106"/>
      <c r="K94" s="103"/>
      <c r="L94" s="107"/>
      <c r="M94" s="12" t="b">
        <f t="shared" si="2"/>
        <v>0</v>
      </c>
    </row>
    <row r="95" spans="2:13" ht="22.5">
      <c r="B95" s="26">
        <v>83</v>
      </c>
      <c r="C95" s="54"/>
      <c r="D95" s="46"/>
      <c r="E95" s="84"/>
      <c r="F95" s="93"/>
      <c r="G95" s="52"/>
      <c r="H95" s="106"/>
      <c r="I95" s="106"/>
      <c r="J95" s="106"/>
      <c r="K95" s="103"/>
      <c r="L95" s="107"/>
      <c r="M95" s="12" t="b">
        <f t="shared" si="2"/>
        <v>0</v>
      </c>
    </row>
    <row r="96" spans="2:13" ht="22.5">
      <c r="B96" s="26">
        <v>84</v>
      </c>
      <c r="C96" s="54"/>
      <c r="D96" s="46"/>
      <c r="E96" s="84"/>
      <c r="F96" s="93"/>
      <c r="G96" s="52"/>
      <c r="H96" s="106"/>
      <c r="I96" s="106"/>
      <c r="J96" s="106"/>
      <c r="K96" s="103"/>
      <c r="L96" s="107"/>
      <c r="M96" s="12" t="b">
        <f t="shared" si="2"/>
        <v>0</v>
      </c>
    </row>
    <row r="97" spans="2:13" ht="22.5">
      <c r="B97" s="26">
        <v>85</v>
      </c>
      <c r="C97" s="54"/>
      <c r="D97" s="46"/>
      <c r="E97" s="84"/>
      <c r="F97" s="93"/>
      <c r="G97" s="52"/>
      <c r="H97" s="106"/>
      <c r="I97" s="106"/>
      <c r="J97" s="106"/>
      <c r="K97" s="103"/>
      <c r="L97" s="107"/>
      <c r="M97" s="12" t="b">
        <f t="shared" si="2"/>
        <v>0</v>
      </c>
    </row>
    <row r="98" spans="2:13" ht="22.5">
      <c r="B98" s="26">
        <v>86</v>
      </c>
      <c r="C98" s="54"/>
      <c r="D98" s="46"/>
      <c r="E98" s="84"/>
      <c r="F98" s="93"/>
      <c r="G98" s="52"/>
      <c r="H98" s="106"/>
      <c r="I98" s="106"/>
      <c r="J98" s="106"/>
      <c r="K98" s="103"/>
      <c r="L98" s="107"/>
      <c r="M98" s="12" t="b">
        <f t="shared" si="2"/>
        <v>0</v>
      </c>
    </row>
    <row r="99" spans="2:13" ht="22.5">
      <c r="B99" s="26">
        <v>87</v>
      </c>
      <c r="C99" s="54"/>
      <c r="D99" s="46"/>
      <c r="E99" s="84"/>
      <c r="F99" s="93"/>
      <c r="G99" s="52"/>
      <c r="H99" s="106"/>
      <c r="I99" s="106"/>
      <c r="J99" s="106"/>
      <c r="K99" s="103"/>
      <c r="L99" s="107"/>
      <c r="M99" s="12" t="b">
        <f t="shared" si="2"/>
        <v>0</v>
      </c>
    </row>
    <row r="100" spans="2:13" ht="22.5">
      <c r="B100" s="26">
        <v>88</v>
      </c>
      <c r="C100" s="54"/>
      <c r="D100" s="46"/>
      <c r="E100" s="84"/>
      <c r="F100" s="93"/>
      <c r="G100" s="52"/>
      <c r="H100" s="106"/>
      <c r="I100" s="106"/>
      <c r="J100" s="106"/>
      <c r="K100" s="103"/>
      <c r="L100" s="107"/>
      <c r="M100" s="12" t="b">
        <f t="shared" si="2"/>
        <v>0</v>
      </c>
    </row>
    <row r="101" spans="2:13" ht="22.5">
      <c r="B101" s="26">
        <v>89</v>
      </c>
      <c r="C101" s="54"/>
      <c r="D101" s="46"/>
      <c r="E101" s="84"/>
      <c r="F101" s="93"/>
      <c r="G101" s="52"/>
      <c r="H101" s="106"/>
      <c r="I101" s="106"/>
      <c r="J101" s="106"/>
      <c r="K101" s="103"/>
      <c r="L101" s="107"/>
      <c r="M101" s="12" t="b">
        <f t="shared" si="2"/>
        <v>0</v>
      </c>
    </row>
    <row r="102" spans="2:13" ht="22.5">
      <c r="B102" s="26">
        <v>90</v>
      </c>
      <c r="C102" s="54"/>
      <c r="D102" s="46"/>
      <c r="E102" s="84"/>
      <c r="F102" s="93"/>
      <c r="G102" s="52"/>
      <c r="H102" s="106"/>
      <c r="I102" s="106"/>
      <c r="J102" s="106"/>
      <c r="K102" s="103"/>
      <c r="L102" s="107"/>
      <c r="M102" s="12" t="b">
        <f t="shared" si="2"/>
        <v>0</v>
      </c>
    </row>
    <row r="103" spans="2:13" ht="22.5">
      <c r="B103" s="26">
        <v>91</v>
      </c>
      <c r="C103" s="54"/>
      <c r="D103" s="46"/>
      <c r="E103" s="84"/>
      <c r="F103" s="93"/>
      <c r="G103" s="52"/>
      <c r="H103" s="106"/>
      <c r="I103" s="106"/>
      <c r="J103" s="106"/>
      <c r="K103" s="103"/>
      <c r="L103" s="107"/>
      <c r="M103" s="12" t="b">
        <f t="shared" si="2"/>
        <v>0</v>
      </c>
    </row>
    <row r="104" spans="2:13" ht="22.5">
      <c r="B104" s="26">
        <v>92</v>
      </c>
      <c r="C104" s="54"/>
      <c r="D104" s="46"/>
      <c r="E104" s="84"/>
      <c r="F104" s="93"/>
      <c r="G104" s="52"/>
      <c r="H104" s="106"/>
      <c r="I104" s="106"/>
      <c r="J104" s="106"/>
      <c r="K104" s="103"/>
      <c r="L104" s="107"/>
      <c r="M104" s="12" t="b">
        <f t="shared" si="2"/>
        <v>0</v>
      </c>
    </row>
    <row r="105" spans="2:13" ht="22.5">
      <c r="B105" s="26">
        <v>93</v>
      </c>
      <c r="C105" s="54"/>
      <c r="D105" s="46"/>
      <c r="E105" s="84"/>
      <c r="F105" s="93"/>
      <c r="G105" s="52"/>
      <c r="H105" s="106"/>
      <c r="I105" s="106"/>
      <c r="J105" s="106"/>
      <c r="K105" s="103"/>
      <c r="L105" s="107"/>
      <c r="M105" s="12" t="b">
        <f t="shared" si="2"/>
        <v>0</v>
      </c>
    </row>
    <row r="106" spans="2:13" ht="22.5">
      <c r="B106" s="26">
        <v>94</v>
      </c>
      <c r="C106" s="54"/>
      <c r="D106" s="46"/>
      <c r="E106" s="84"/>
      <c r="F106" s="93"/>
      <c r="G106" s="52"/>
      <c r="H106" s="106"/>
      <c r="I106" s="106"/>
      <c r="J106" s="106"/>
      <c r="K106" s="103"/>
      <c r="L106" s="107"/>
      <c r="M106" s="12" t="b">
        <f t="shared" si="2"/>
        <v>0</v>
      </c>
    </row>
    <row r="107" spans="2:13" ht="22.5">
      <c r="B107" s="26">
        <v>95</v>
      </c>
      <c r="C107" s="54"/>
      <c r="D107" s="46"/>
      <c r="E107" s="84"/>
      <c r="F107" s="93"/>
      <c r="G107" s="52"/>
      <c r="H107" s="106"/>
      <c r="I107" s="106"/>
      <c r="J107" s="106"/>
      <c r="K107" s="103"/>
      <c r="L107" s="107"/>
      <c r="M107" s="12" t="b">
        <f t="shared" si="2"/>
        <v>0</v>
      </c>
    </row>
    <row r="108" spans="2:13" ht="22.5">
      <c r="B108" s="26">
        <v>96</v>
      </c>
      <c r="C108" s="54"/>
      <c r="D108" s="46"/>
      <c r="E108" s="84"/>
      <c r="F108" s="93"/>
      <c r="G108" s="52"/>
      <c r="H108" s="106"/>
      <c r="I108" s="106"/>
      <c r="J108" s="106"/>
      <c r="K108" s="103"/>
      <c r="L108" s="107"/>
      <c r="M108" s="12" t="b">
        <f t="shared" si="2"/>
        <v>0</v>
      </c>
    </row>
    <row r="109" spans="2:13" ht="22.5">
      <c r="B109" s="26">
        <v>97</v>
      </c>
      <c r="C109" s="54"/>
      <c r="D109" s="46"/>
      <c r="E109" s="84"/>
      <c r="F109" s="93"/>
      <c r="G109" s="52"/>
      <c r="H109" s="106"/>
      <c r="I109" s="106"/>
      <c r="J109" s="106"/>
      <c r="K109" s="103"/>
      <c r="L109" s="107"/>
      <c r="M109" s="12" t="b">
        <f t="shared" si="2"/>
        <v>0</v>
      </c>
    </row>
    <row r="110" spans="2:13" ht="22.5">
      <c r="B110" s="26">
        <v>98</v>
      </c>
      <c r="C110" s="54"/>
      <c r="D110" s="46"/>
      <c r="E110" s="84"/>
      <c r="F110" s="93"/>
      <c r="G110" s="52"/>
      <c r="H110" s="106"/>
      <c r="I110" s="106"/>
      <c r="J110" s="106"/>
      <c r="K110" s="103"/>
      <c r="L110" s="107"/>
      <c r="M110" s="12" t="b">
        <f t="shared" si="2"/>
        <v>0</v>
      </c>
    </row>
    <row r="111" spans="2:13" ht="22.5">
      <c r="B111" s="26">
        <v>99</v>
      </c>
      <c r="C111" s="54"/>
      <c r="D111" s="46"/>
      <c r="E111" s="84"/>
      <c r="F111" s="93"/>
      <c r="G111" s="52"/>
      <c r="H111" s="106"/>
      <c r="I111" s="106"/>
      <c r="J111" s="106"/>
      <c r="K111" s="103"/>
      <c r="L111" s="107"/>
      <c r="M111" s="12" t="b">
        <f t="shared" si="2"/>
        <v>0</v>
      </c>
    </row>
    <row r="112" spans="2:13" ht="22.5">
      <c r="B112" s="26">
        <v>100</v>
      </c>
      <c r="C112" s="54"/>
      <c r="D112" s="46"/>
      <c r="E112" s="84"/>
      <c r="F112" s="93"/>
      <c r="G112" s="52"/>
      <c r="H112" s="106"/>
      <c r="I112" s="106"/>
      <c r="J112" s="106"/>
      <c r="K112" s="103"/>
      <c r="L112" s="107"/>
      <c r="M112" s="12" t="b">
        <f t="shared" si="2"/>
        <v>0</v>
      </c>
    </row>
    <row r="113" spans="2:13" ht="22.5">
      <c r="B113" s="26">
        <v>101</v>
      </c>
      <c r="C113" s="54"/>
      <c r="D113" s="46"/>
      <c r="E113" s="84"/>
      <c r="F113" s="93"/>
      <c r="G113" s="52"/>
      <c r="H113" s="106"/>
      <c r="I113" s="106"/>
      <c r="J113" s="106"/>
      <c r="K113" s="103"/>
      <c r="L113" s="107"/>
      <c r="M113" s="12" t="b">
        <f t="shared" si="2"/>
        <v>0</v>
      </c>
    </row>
    <row r="114" spans="2:13" ht="22.5">
      <c r="B114" s="26">
        <v>102</v>
      </c>
      <c r="C114" s="54"/>
      <c r="D114" s="46"/>
      <c r="E114" s="84"/>
      <c r="F114" s="93"/>
      <c r="G114" s="52"/>
      <c r="H114" s="106"/>
      <c r="I114" s="106"/>
      <c r="J114" s="106"/>
      <c r="K114" s="103"/>
      <c r="L114" s="107"/>
      <c r="M114" s="12" t="b">
        <f t="shared" si="2"/>
        <v>0</v>
      </c>
    </row>
    <row r="115" spans="2:13" ht="22.5">
      <c r="B115" s="26">
        <v>103</v>
      </c>
      <c r="C115" s="54"/>
      <c r="D115" s="46"/>
      <c r="E115" s="84"/>
      <c r="F115" s="93"/>
      <c r="G115" s="52"/>
      <c r="H115" s="106"/>
      <c r="I115" s="106"/>
      <c r="J115" s="106"/>
      <c r="K115" s="103"/>
      <c r="L115" s="107"/>
      <c r="M115" s="12" t="b">
        <f t="shared" si="2"/>
        <v>0</v>
      </c>
    </row>
    <row r="116" spans="2:13" ht="22.5">
      <c r="B116" s="26">
        <v>104</v>
      </c>
      <c r="C116" s="54"/>
      <c r="D116" s="46"/>
      <c r="E116" s="84"/>
      <c r="F116" s="93"/>
      <c r="G116" s="52"/>
      <c r="H116" s="106"/>
      <c r="I116" s="106"/>
      <c r="J116" s="106"/>
      <c r="K116" s="103"/>
      <c r="L116" s="107"/>
      <c r="M116" s="12" t="b">
        <f t="shared" si="2"/>
        <v>0</v>
      </c>
    </row>
    <row r="117" spans="2:13" ht="22.5">
      <c r="B117" s="26">
        <v>105</v>
      </c>
      <c r="C117" s="54"/>
      <c r="D117" s="46"/>
      <c r="E117" s="84"/>
      <c r="F117" s="93"/>
      <c r="G117" s="52"/>
      <c r="H117" s="106"/>
      <c r="I117" s="106"/>
      <c r="J117" s="106"/>
      <c r="K117" s="103"/>
      <c r="L117" s="107"/>
      <c r="M117" s="12" t="b">
        <f t="shared" si="2"/>
        <v>0</v>
      </c>
    </row>
    <row r="118" spans="2:13" ht="22.5">
      <c r="B118" s="26">
        <v>106</v>
      </c>
      <c r="C118" s="54"/>
      <c r="D118" s="46"/>
      <c r="E118" s="84"/>
      <c r="F118" s="93"/>
      <c r="G118" s="52"/>
      <c r="H118" s="106"/>
      <c r="I118" s="106"/>
      <c r="J118" s="106"/>
      <c r="K118" s="103"/>
      <c r="L118" s="107"/>
      <c r="M118" s="12" t="b">
        <f t="shared" si="2"/>
        <v>0</v>
      </c>
    </row>
    <row r="119" spans="2:13" ht="22.5">
      <c r="B119" s="26">
        <v>107</v>
      </c>
      <c r="C119" s="54"/>
      <c r="D119" s="46"/>
      <c r="E119" s="84"/>
      <c r="F119" s="93"/>
      <c r="G119" s="52"/>
      <c r="H119" s="106"/>
      <c r="I119" s="106"/>
      <c r="J119" s="106"/>
      <c r="K119" s="103"/>
      <c r="L119" s="107"/>
      <c r="M119" s="12" t="b">
        <f t="shared" si="2"/>
        <v>0</v>
      </c>
    </row>
    <row r="120" spans="2:13" ht="22.5">
      <c r="B120" s="26">
        <v>108</v>
      </c>
      <c r="C120" s="54"/>
      <c r="D120" s="46"/>
      <c r="E120" s="84"/>
      <c r="F120" s="93"/>
      <c r="G120" s="52"/>
      <c r="H120" s="106"/>
      <c r="I120" s="106"/>
      <c r="J120" s="106"/>
      <c r="K120" s="103"/>
      <c r="L120" s="107"/>
      <c r="M120" s="12" t="b">
        <f t="shared" si="2"/>
        <v>0</v>
      </c>
    </row>
    <row r="121" spans="2:13" ht="22.5">
      <c r="B121" s="26">
        <v>109</v>
      </c>
      <c r="C121" s="54"/>
      <c r="D121" s="46"/>
      <c r="E121" s="84"/>
      <c r="F121" s="93"/>
      <c r="G121" s="52"/>
      <c r="H121" s="106"/>
      <c r="I121" s="106"/>
      <c r="J121" s="106"/>
      <c r="K121" s="103"/>
      <c r="L121" s="107"/>
      <c r="M121" s="12" t="b">
        <f t="shared" si="2"/>
        <v>0</v>
      </c>
    </row>
    <row r="122" spans="2:13" ht="22.5">
      <c r="B122" s="26">
        <v>110</v>
      </c>
      <c r="C122" s="54"/>
      <c r="D122" s="46"/>
      <c r="E122" s="84"/>
      <c r="F122" s="93"/>
      <c r="G122" s="52"/>
      <c r="H122" s="106"/>
      <c r="I122" s="106"/>
      <c r="J122" s="106"/>
      <c r="K122" s="103"/>
      <c r="L122" s="107"/>
      <c r="M122" s="12" t="b">
        <f t="shared" si="2"/>
        <v>0</v>
      </c>
    </row>
    <row r="123" spans="2:13" ht="22.5">
      <c r="B123" s="26">
        <v>111</v>
      </c>
      <c r="C123" s="54"/>
      <c r="D123" s="46"/>
      <c r="E123" s="84"/>
      <c r="F123" s="93"/>
      <c r="G123" s="52"/>
      <c r="H123" s="106"/>
      <c r="I123" s="106"/>
      <c r="J123" s="106"/>
      <c r="K123" s="103"/>
      <c r="L123" s="107"/>
      <c r="M123" s="12" t="b">
        <f t="shared" si="2"/>
        <v>0</v>
      </c>
    </row>
    <row r="124" spans="2:13" ht="22.5">
      <c r="B124" s="26">
        <v>112</v>
      </c>
      <c r="C124" s="54"/>
      <c r="D124" s="46"/>
      <c r="E124" s="84"/>
      <c r="F124" s="93"/>
      <c r="G124" s="52"/>
      <c r="H124" s="106"/>
      <c r="I124" s="106"/>
      <c r="J124" s="106"/>
      <c r="K124" s="103"/>
      <c r="L124" s="107"/>
      <c r="M124" s="12" t="b">
        <f t="shared" si="2"/>
        <v>0</v>
      </c>
    </row>
    <row r="125" spans="2:13" ht="22.5">
      <c r="B125" s="26">
        <v>113</v>
      </c>
      <c r="C125" s="54"/>
      <c r="D125" s="46"/>
      <c r="E125" s="84"/>
      <c r="F125" s="93"/>
      <c r="G125" s="52"/>
      <c r="H125" s="106"/>
      <c r="I125" s="106"/>
      <c r="J125" s="106"/>
      <c r="K125" s="103"/>
      <c r="L125" s="107"/>
      <c r="M125" s="12" t="b">
        <f t="shared" si="2"/>
        <v>0</v>
      </c>
    </row>
    <row r="126" spans="2:13" ht="22.5">
      <c r="B126" s="26">
        <v>114</v>
      </c>
      <c r="C126" s="54"/>
      <c r="D126" s="46"/>
      <c r="E126" s="84"/>
      <c r="F126" s="93"/>
      <c r="G126" s="52"/>
      <c r="H126" s="106"/>
      <c r="I126" s="106"/>
      <c r="J126" s="106"/>
      <c r="K126" s="103"/>
      <c r="L126" s="107"/>
      <c r="M126" s="12" t="b">
        <f t="shared" si="2"/>
        <v>0</v>
      </c>
    </row>
    <row r="127" spans="2:13" ht="22.5">
      <c r="B127" s="26">
        <v>115</v>
      </c>
      <c r="C127" s="54"/>
      <c r="D127" s="46"/>
      <c r="E127" s="84"/>
      <c r="F127" s="93"/>
      <c r="G127" s="52"/>
      <c r="H127" s="106"/>
      <c r="I127" s="106"/>
      <c r="J127" s="106"/>
      <c r="K127" s="103"/>
      <c r="L127" s="107"/>
      <c r="M127" s="12" t="b">
        <f t="shared" si="2"/>
        <v>0</v>
      </c>
    </row>
    <row r="128" spans="2:13" ht="22.5">
      <c r="B128" s="26">
        <v>116</v>
      </c>
      <c r="C128" s="54"/>
      <c r="D128" s="46"/>
      <c r="E128" s="84"/>
      <c r="F128" s="93"/>
      <c r="G128" s="52"/>
      <c r="H128" s="106"/>
      <c r="I128" s="106"/>
      <c r="J128" s="106"/>
      <c r="K128" s="103"/>
      <c r="L128" s="107"/>
      <c r="M128" s="12" t="b">
        <f t="shared" si="2"/>
        <v>0</v>
      </c>
    </row>
    <row r="129" spans="2:13" ht="22.5">
      <c r="B129" s="26">
        <v>117</v>
      </c>
      <c r="C129" s="54"/>
      <c r="D129" s="46"/>
      <c r="E129" s="84"/>
      <c r="F129" s="93"/>
      <c r="G129" s="52"/>
      <c r="H129" s="106"/>
      <c r="I129" s="106"/>
      <c r="J129" s="106"/>
      <c r="K129" s="103"/>
      <c r="L129" s="107"/>
      <c r="M129" s="12" t="b">
        <f t="shared" si="2"/>
        <v>0</v>
      </c>
    </row>
    <row r="130" spans="2:13" ht="22.5">
      <c r="B130" s="26">
        <v>118</v>
      </c>
      <c r="C130" s="54"/>
      <c r="D130" s="46"/>
      <c r="E130" s="84"/>
      <c r="F130" s="93"/>
      <c r="G130" s="52"/>
      <c r="H130" s="106"/>
      <c r="I130" s="106"/>
      <c r="J130" s="106"/>
      <c r="K130" s="103"/>
      <c r="L130" s="107"/>
      <c r="M130" s="12" t="b">
        <f t="shared" si="2"/>
        <v>0</v>
      </c>
    </row>
    <row r="131" spans="2:13" ht="22.5">
      <c r="B131" s="26">
        <v>119</v>
      </c>
      <c r="C131" s="54"/>
      <c r="D131" s="46"/>
      <c r="E131" s="84"/>
      <c r="F131" s="93"/>
      <c r="G131" s="52"/>
      <c r="H131" s="106"/>
      <c r="I131" s="106"/>
      <c r="J131" s="106"/>
      <c r="K131" s="103"/>
      <c r="L131" s="107"/>
      <c r="M131" s="12" t="b">
        <f t="shared" si="2"/>
        <v>0</v>
      </c>
    </row>
    <row r="132" spans="2:13" ht="22.5">
      <c r="B132" s="26">
        <v>120</v>
      </c>
      <c r="C132" s="54"/>
      <c r="D132" s="46"/>
      <c r="E132" s="84"/>
      <c r="F132" s="93"/>
      <c r="G132" s="52"/>
      <c r="H132" s="106"/>
      <c r="I132" s="106"/>
      <c r="J132" s="106"/>
      <c r="K132" s="103"/>
      <c r="L132" s="107"/>
      <c r="M132" s="12" t="b">
        <f t="shared" si="2"/>
        <v>0</v>
      </c>
    </row>
    <row r="133" spans="2:13" ht="22.5">
      <c r="B133" s="26">
        <v>121</v>
      </c>
      <c r="C133" s="54"/>
      <c r="D133" s="46"/>
      <c r="E133" s="84"/>
      <c r="F133" s="93"/>
      <c r="G133" s="52"/>
      <c r="H133" s="106"/>
      <c r="I133" s="106"/>
      <c r="J133" s="106"/>
      <c r="K133" s="103"/>
      <c r="L133" s="107"/>
      <c r="M133" s="12" t="b">
        <f t="shared" si="2"/>
        <v>0</v>
      </c>
    </row>
    <row r="134" spans="2:13" ht="22.5">
      <c r="B134" s="26">
        <v>122</v>
      </c>
      <c r="C134" s="54"/>
      <c r="D134" s="46"/>
      <c r="E134" s="84"/>
      <c r="F134" s="93"/>
      <c r="G134" s="52"/>
      <c r="H134" s="106"/>
      <c r="I134" s="106"/>
      <c r="J134" s="106"/>
      <c r="K134" s="103"/>
      <c r="L134" s="107"/>
      <c r="M134" s="12" t="b">
        <f t="shared" si="2"/>
        <v>0</v>
      </c>
    </row>
    <row r="135" spans="2:13" ht="22.5">
      <c r="B135" s="26">
        <v>123</v>
      </c>
      <c r="C135" s="54"/>
      <c r="D135" s="46"/>
      <c r="E135" s="84"/>
      <c r="F135" s="93"/>
      <c r="G135" s="52"/>
      <c r="H135" s="106"/>
      <c r="I135" s="106"/>
      <c r="J135" s="106"/>
      <c r="K135" s="103"/>
      <c r="L135" s="107"/>
      <c r="M135" s="12" t="b">
        <f t="shared" si="2"/>
        <v>0</v>
      </c>
    </row>
    <row r="136" spans="2:13" ht="22.5">
      <c r="B136" s="26">
        <v>124</v>
      </c>
      <c r="C136" s="54"/>
      <c r="D136" s="46"/>
      <c r="E136" s="84"/>
      <c r="F136" s="93"/>
      <c r="G136" s="52"/>
      <c r="H136" s="106"/>
      <c r="I136" s="106"/>
      <c r="J136" s="106"/>
      <c r="K136" s="103"/>
      <c r="L136" s="107"/>
      <c r="M136" s="12" t="b">
        <f t="shared" si="2"/>
        <v>0</v>
      </c>
    </row>
    <row r="137" spans="2:13" ht="22.5">
      <c r="B137" s="26">
        <v>125</v>
      </c>
      <c r="C137" s="54"/>
      <c r="D137" s="46"/>
      <c r="E137" s="84"/>
      <c r="F137" s="93"/>
      <c r="G137" s="52"/>
      <c r="H137" s="106"/>
      <c r="I137" s="106"/>
      <c r="J137" s="106"/>
      <c r="K137" s="103"/>
      <c r="L137" s="107"/>
      <c r="M137" s="12" t="b">
        <f t="shared" si="2"/>
        <v>0</v>
      </c>
    </row>
    <row r="138" spans="2:13" ht="22.5">
      <c r="B138" s="26">
        <v>126</v>
      </c>
      <c r="C138" s="54"/>
      <c r="D138" s="46"/>
      <c r="E138" s="84"/>
      <c r="F138" s="93"/>
      <c r="G138" s="52"/>
      <c r="H138" s="106"/>
      <c r="I138" s="106"/>
      <c r="J138" s="106"/>
      <c r="K138" s="103"/>
      <c r="L138" s="107"/>
      <c r="M138" s="12" t="b">
        <f t="shared" si="2"/>
        <v>0</v>
      </c>
    </row>
    <row r="139" spans="2:13" ht="22.5">
      <c r="B139" s="26">
        <v>127</v>
      </c>
      <c r="C139" s="54"/>
      <c r="D139" s="46"/>
      <c r="E139" s="84"/>
      <c r="F139" s="93"/>
      <c r="G139" s="52"/>
      <c r="H139" s="106"/>
      <c r="I139" s="106"/>
      <c r="J139" s="106"/>
      <c r="K139" s="103"/>
      <c r="L139" s="107"/>
      <c r="M139" s="12" t="b">
        <f t="shared" si="2"/>
        <v>0</v>
      </c>
    </row>
    <row r="140" spans="2:13" ht="22.5">
      <c r="B140" s="26">
        <v>128</v>
      </c>
      <c r="C140" s="54"/>
      <c r="D140" s="46"/>
      <c r="E140" s="84"/>
      <c r="F140" s="93"/>
      <c r="G140" s="52"/>
      <c r="H140" s="106"/>
      <c r="I140" s="106"/>
      <c r="J140" s="106"/>
      <c r="K140" s="103"/>
      <c r="L140" s="107"/>
      <c r="M140" s="12" t="b">
        <f t="shared" si="2"/>
        <v>0</v>
      </c>
    </row>
    <row r="141" spans="2:13" ht="22.5">
      <c r="B141" s="26">
        <v>129</v>
      </c>
      <c r="C141" s="54"/>
      <c r="D141" s="46"/>
      <c r="E141" s="84"/>
      <c r="F141" s="93"/>
      <c r="G141" s="52"/>
      <c r="H141" s="106"/>
      <c r="I141" s="106"/>
      <c r="J141" s="106"/>
      <c r="K141" s="103"/>
      <c r="L141" s="107"/>
      <c r="M141" s="12" t="b">
        <f t="shared" ref="M141:M204" si="3">IF(COUNTA(E141:G141)=0,FALSE,TRUE)</f>
        <v>0</v>
      </c>
    </row>
    <row r="142" spans="2:13" ht="22.5">
      <c r="B142" s="26">
        <v>130</v>
      </c>
      <c r="C142" s="54"/>
      <c r="D142" s="46"/>
      <c r="E142" s="84"/>
      <c r="F142" s="93"/>
      <c r="G142" s="52"/>
      <c r="H142" s="106"/>
      <c r="I142" s="106"/>
      <c r="J142" s="106"/>
      <c r="K142" s="103"/>
      <c r="L142" s="107"/>
      <c r="M142" s="12" t="b">
        <f t="shared" si="3"/>
        <v>0</v>
      </c>
    </row>
    <row r="143" spans="2:13" ht="22.5">
      <c r="B143" s="26">
        <v>131</v>
      </c>
      <c r="C143" s="54"/>
      <c r="D143" s="46"/>
      <c r="E143" s="84"/>
      <c r="F143" s="93"/>
      <c r="G143" s="52"/>
      <c r="H143" s="106"/>
      <c r="I143" s="106"/>
      <c r="J143" s="106"/>
      <c r="K143" s="103"/>
      <c r="L143" s="107"/>
      <c r="M143" s="12" t="b">
        <f t="shared" si="3"/>
        <v>0</v>
      </c>
    </row>
    <row r="144" spans="2:13" ht="22.5">
      <c r="B144" s="26">
        <v>132</v>
      </c>
      <c r="C144" s="54"/>
      <c r="D144" s="46"/>
      <c r="E144" s="84"/>
      <c r="F144" s="93"/>
      <c r="G144" s="52"/>
      <c r="H144" s="106"/>
      <c r="I144" s="106"/>
      <c r="J144" s="106"/>
      <c r="K144" s="103"/>
      <c r="L144" s="107"/>
      <c r="M144" s="12" t="b">
        <f t="shared" si="3"/>
        <v>0</v>
      </c>
    </row>
    <row r="145" spans="2:13" ht="22.5">
      <c r="B145" s="26">
        <v>133</v>
      </c>
      <c r="C145" s="54"/>
      <c r="D145" s="46"/>
      <c r="E145" s="84"/>
      <c r="F145" s="93"/>
      <c r="G145" s="52"/>
      <c r="H145" s="106"/>
      <c r="I145" s="106"/>
      <c r="J145" s="106"/>
      <c r="K145" s="103"/>
      <c r="L145" s="107"/>
      <c r="M145" s="12" t="b">
        <f t="shared" si="3"/>
        <v>0</v>
      </c>
    </row>
    <row r="146" spans="2:13" ht="22.5">
      <c r="B146" s="26">
        <v>134</v>
      </c>
      <c r="C146" s="54"/>
      <c r="D146" s="46"/>
      <c r="E146" s="84"/>
      <c r="F146" s="93"/>
      <c r="G146" s="52"/>
      <c r="H146" s="106"/>
      <c r="I146" s="106"/>
      <c r="J146" s="106"/>
      <c r="K146" s="103"/>
      <c r="L146" s="107"/>
      <c r="M146" s="12" t="b">
        <f t="shared" si="3"/>
        <v>0</v>
      </c>
    </row>
    <row r="147" spans="2:13" ht="22.5">
      <c r="B147" s="26">
        <v>135</v>
      </c>
      <c r="C147" s="54"/>
      <c r="D147" s="46"/>
      <c r="E147" s="84"/>
      <c r="F147" s="93"/>
      <c r="G147" s="52"/>
      <c r="H147" s="106"/>
      <c r="I147" s="106"/>
      <c r="J147" s="106"/>
      <c r="K147" s="103"/>
      <c r="L147" s="107"/>
      <c r="M147" s="12" t="b">
        <f t="shared" si="3"/>
        <v>0</v>
      </c>
    </row>
    <row r="148" spans="2:13" ht="22.5">
      <c r="B148" s="26">
        <v>136</v>
      </c>
      <c r="C148" s="54"/>
      <c r="D148" s="46"/>
      <c r="E148" s="84"/>
      <c r="F148" s="93"/>
      <c r="G148" s="52"/>
      <c r="H148" s="106"/>
      <c r="I148" s="106"/>
      <c r="J148" s="106"/>
      <c r="K148" s="103"/>
      <c r="L148" s="107"/>
      <c r="M148" s="12" t="b">
        <f t="shared" si="3"/>
        <v>0</v>
      </c>
    </row>
    <row r="149" spans="2:13" ht="22.5">
      <c r="B149" s="26">
        <v>137</v>
      </c>
      <c r="C149" s="54"/>
      <c r="D149" s="46"/>
      <c r="E149" s="84"/>
      <c r="F149" s="93"/>
      <c r="G149" s="52"/>
      <c r="H149" s="106"/>
      <c r="I149" s="106"/>
      <c r="J149" s="106"/>
      <c r="K149" s="103"/>
      <c r="L149" s="107"/>
      <c r="M149" s="12" t="b">
        <f t="shared" si="3"/>
        <v>0</v>
      </c>
    </row>
    <row r="150" spans="2:13" ht="22.5">
      <c r="B150" s="26">
        <v>138</v>
      </c>
      <c r="C150" s="54"/>
      <c r="D150" s="46"/>
      <c r="E150" s="84"/>
      <c r="F150" s="93"/>
      <c r="G150" s="52"/>
      <c r="H150" s="106"/>
      <c r="I150" s="106"/>
      <c r="J150" s="106"/>
      <c r="K150" s="103"/>
      <c r="L150" s="107"/>
      <c r="M150" s="12" t="b">
        <f t="shared" si="3"/>
        <v>0</v>
      </c>
    </row>
    <row r="151" spans="2:13" ht="22.5">
      <c r="B151" s="26">
        <v>139</v>
      </c>
      <c r="C151" s="54"/>
      <c r="D151" s="46"/>
      <c r="E151" s="84"/>
      <c r="F151" s="93"/>
      <c r="G151" s="52"/>
      <c r="H151" s="106"/>
      <c r="I151" s="106"/>
      <c r="J151" s="106"/>
      <c r="K151" s="103"/>
      <c r="L151" s="107"/>
      <c r="M151" s="12" t="b">
        <f t="shared" si="3"/>
        <v>0</v>
      </c>
    </row>
    <row r="152" spans="2:13" ht="22.5">
      <c r="B152" s="26">
        <v>140</v>
      </c>
      <c r="C152" s="54"/>
      <c r="D152" s="46"/>
      <c r="E152" s="84"/>
      <c r="F152" s="93"/>
      <c r="G152" s="52"/>
      <c r="H152" s="106"/>
      <c r="I152" s="106"/>
      <c r="J152" s="106"/>
      <c r="K152" s="103"/>
      <c r="L152" s="107"/>
      <c r="M152" s="12" t="b">
        <f t="shared" si="3"/>
        <v>0</v>
      </c>
    </row>
    <row r="153" spans="2:13" ht="22.5">
      <c r="B153" s="26">
        <v>141</v>
      </c>
      <c r="C153" s="54"/>
      <c r="D153" s="46"/>
      <c r="E153" s="84"/>
      <c r="F153" s="93"/>
      <c r="G153" s="52"/>
      <c r="H153" s="106"/>
      <c r="I153" s="106"/>
      <c r="J153" s="106"/>
      <c r="K153" s="103"/>
      <c r="L153" s="107"/>
      <c r="M153" s="12" t="b">
        <f t="shared" si="3"/>
        <v>0</v>
      </c>
    </row>
    <row r="154" spans="2:13" ht="22.5">
      <c r="B154" s="26">
        <v>142</v>
      </c>
      <c r="C154" s="54"/>
      <c r="D154" s="46"/>
      <c r="E154" s="84"/>
      <c r="F154" s="93"/>
      <c r="G154" s="52"/>
      <c r="H154" s="106"/>
      <c r="I154" s="106"/>
      <c r="J154" s="106"/>
      <c r="K154" s="103"/>
      <c r="L154" s="107"/>
      <c r="M154" s="12" t="b">
        <f t="shared" si="3"/>
        <v>0</v>
      </c>
    </row>
    <row r="155" spans="2:13" ht="22.5">
      <c r="B155" s="26">
        <v>143</v>
      </c>
      <c r="C155" s="54"/>
      <c r="D155" s="46"/>
      <c r="E155" s="84"/>
      <c r="F155" s="93"/>
      <c r="G155" s="52"/>
      <c r="H155" s="106"/>
      <c r="I155" s="106"/>
      <c r="J155" s="106"/>
      <c r="K155" s="103"/>
      <c r="L155" s="107"/>
      <c r="M155" s="12" t="b">
        <f t="shared" si="3"/>
        <v>0</v>
      </c>
    </row>
    <row r="156" spans="2:13" ht="22.5">
      <c r="B156" s="26">
        <v>144</v>
      </c>
      <c r="C156" s="54"/>
      <c r="D156" s="46"/>
      <c r="E156" s="84"/>
      <c r="F156" s="93"/>
      <c r="G156" s="52"/>
      <c r="H156" s="106"/>
      <c r="I156" s="106"/>
      <c r="J156" s="106"/>
      <c r="K156" s="103"/>
      <c r="L156" s="107"/>
      <c r="M156" s="12" t="b">
        <f t="shared" si="3"/>
        <v>0</v>
      </c>
    </row>
    <row r="157" spans="2:13" ht="22.5">
      <c r="B157" s="26">
        <v>145</v>
      </c>
      <c r="C157" s="54"/>
      <c r="D157" s="46"/>
      <c r="E157" s="84"/>
      <c r="F157" s="93"/>
      <c r="G157" s="52"/>
      <c r="H157" s="106"/>
      <c r="I157" s="106"/>
      <c r="J157" s="106"/>
      <c r="K157" s="103"/>
      <c r="L157" s="107"/>
      <c r="M157" s="12" t="b">
        <f t="shared" si="3"/>
        <v>0</v>
      </c>
    </row>
    <row r="158" spans="2:13" ht="22.5">
      <c r="B158" s="26">
        <v>146</v>
      </c>
      <c r="C158" s="54"/>
      <c r="D158" s="46"/>
      <c r="E158" s="84"/>
      <c r="F158" s="93"/>
      <c r="G158" s="52"/>
      <c r="H158" s="106"/>
      <c r="I158" s="106"/>
      <c r="J158" s="106"/>
      <c r="K158" s="103"/>
      <c r="L158" s="107"/>
      <c r="M158" s="12" t="b">
        <f t="shared" si="3"/>
        <v>0</v>
      </c>
    </row>
    <row r="159" spans="2:13" ht="22.5">
      <c r="B159" s="26">
        <v>147</v>
      </c>
      <c r="C159" s="54"/>
      <c r="D159" s="46"/>
      <c r="E159" s="84"/>
      <c r="F159" s="93"/>
      <c r="G159" s="52"/>
      <c r="H159" s="106"/>
      <c r="I159" s="106"/>
      <c r="J159" s="106"/>
      <c r="K159" s="103"/>
      <c r="L159" s="107"/>
      <c r="M159" s="12" t="b">
        <f t="shared" si="3"/>
        <v>0</v>
      </c>
    </row>
    <row r="160" spans="2:13" ht="22.5">
      <c r="B160" s="26">
        <v>148</v>
      </c>
      <c r="C160" s="54"/>
      <c r="D160" s="46"/>
      <c r="E160" s="84"/>
      <c r="F160" s="93"/>
      <c r="G160" s="52"/>
      <c r="H160" s="106"/>
      <c r="I160" s="106"/>
      <c r="J160" s="106"/>
      <c r="K160" s="103"/>
      <c r="L160" s="107"/>
      <c r="M160" s="12" t="b">
        <f t="shared" si="3"/>
        <v>0</v>
      </c>
    </row>
    <row r="161" spans="2:13" ht="22.5">
      <c r="B161" s="26">
        <v>149</v>
      </c>
      <c r="C161" s="54"/>
      <c r="D161" s="46"/>
      <c r="E161" s="84"/>
      <c r="F161" s="93"/>
      <c r="G161" s="52"/>
      <c r="H161" s="106"/>
      <c r="I161" s="106"/>
      <c r="J161" s="106"/>
      <c r="K161" s="103"/>
      <c r="L161" s="107"/>
      <c r="M161" s="12" t="b">
        <f t="shared" si="3"/>
        <v>0</v>
      </c>
    </row>
    <row r="162" spans="2:13" ht="22.5">
      <c r="B162" s="26">
        <v>150</v>
      </c>
      <c r="C162" s="54"/>
      <c r="D162" s="46"/>
      <c r="E162" s="84"/>
      <c r="F162" s="93"/>
      <c r="G162" s="52"/>
      <c r="H162" s="106"/>
      <c r="I162" s="106"/>
      <c r="J162" s="106"/>
      <c r="K162" s="103"/>
      <c r="L162" s="107"/>
      <c r="M162" s="12" t="b">
        <f t="shared" si="3"/>
        <v>0</v>
      </c>
    </row>
    <row r="163" spans="2:13" ht="22.5">
      <c r="B163" s="26">
        <v>151</v>
      </c>
      <c r="C163" s="54"/>
      <c r="D163" s="46"/>
      <c r="E163" s="84"/>
      <c r="F163" s="93"/>
      <c r="G163" s="52"/>
      <c r="H163" s="106"/>
      <c r="I163" s="106"/>
      <c r="J163" s="106"/>
      <c r="K163" s="103"/>
      <c r="L163" s="107"/>
      <c r="M163" s="12" t="b">
        <f t="shared" si="3"/>
        <v>0</v>
      </c>
    </row>
    <row r="164" spans="2:13" ht="22.5">
      <c r="B164" s="26">
        <v>152</v>
      </c>
      <c r="C164" s="54"/>
      <c r="D164" s="46"/>
      <c r="E164" s="84"/>
      <c r="F164" s="93"/>
      <c r="G164" s="52"/>
      <c r="H164" s="106"/>
      <c r="I164" s="106"/>
      <c r="J164" s="106"/>
      <c r="K164" s="103"/>
      <c r="L164" s="107"/>
      <c r="M164" s="12" t="b">
        <f t="shared" si="3"/>
        <v>0</v>
      </c>
    </row>
    <row r="165" spans="2:13" ht="22.5">
      <c r="B165" s="26">
        <v>153</v>
      </c>
      <c r="C165" s="54"/>
      <c r="D165" s="46"/>
      <c r="E165" s="84"/>
      <c r="F165" s="93"/>
      <c r="G165" s="52"/>
      <c r="H165" s="106"/>
      <c r="I165" s="106"/>
      <c r="J165" s="106"/>
      <c r="K165" s="103"/>
      <c r="L165" s="107"/>
      <c r="M165" s="12" t="b">
        <f t="shared" si="3"/>
        <v>0</v>
      </c>
    </row>
    <row r="166" spans="2:13" ht="22.5">
      <c r="B166" s="26">
        <v>154</v>
      </c>
      <c r="C166" s="54"/>
      <c r="D166" s="46"/>
      <c r="E166" s="84"/>
      <c r="F166" s="93"/>
      <c r="G166" s="52"/>
      <c r="H166" s="106"/>
      <c r="I166" s="106"/>
      <c r="J166" s="106"/>
      <c r="K166" s="103"/>
      <c r="L166" s="107"/>
      <c r="M166" s="12" t="b">
        <f t="shared" si="3"/>
        <v>0</v>
      </c>
    </row>
    <row r="167" spans="2:13" ht="22.5">
      <c r="B167" s="26">
        <v>155</v>
      </c>
      <c r="C167" s="54"/>
      <c r="D167" s="46"/>
      <c r="E167" s="84"/>
      <c r="F167" s="93"/>
      <c r="G167" s="52"/>
      <c r="H167" s="106"/>
      <c r="I167" s="106"/>
      <c r="J167" s="106"/>
      <c r="K167" s="103"/>
      <c r="L167" s="107"/>
      <c r="M167" s="12" t="b">
        <f t="shared" si="3"/>
        <v>0</v>
      </c>
    </row>
    <row r="168" spans="2:13" ht="22.5">
      <c r="B168" s="26">
        <v>156</v>
      </c>
      <c r="C168" s="54"/>
      <c r="D168" s="46"/>
      <c r="E168" s="84"/>
      <c r="F168" s="93"/>
      <c r="G168" s="52"/>
      <c r="H168" s="106"/>
      <c r="I168" s="106"/>
      <c r="J168" s="106"/>
      <c r="K168" s="103"/>
      <c r="L168" s="107"/>
      <c r="M168" s="12" t="b">
        <f t="shared" si="3"/>
        <v>0</v>
      </c>
    </row>
    <row r="169" spans="2:13" ht="22.5">
      <c r="B169" s="26">
        <v>157</v>
      </c>
      <c r="C169" s="54"/>
      <c r="D169" s="46"/>
      <c r="E169" s="84"/>
      <c r="F169" s="93"/>
      <c r="G169" s="52"/>
      <c r="H169" s="106"/>
      <c r="I169" s="106"/>
      <c r="J169" s="106"/>
      <c r="K169" s="103"/>
      <c r="L169" s="107"/>
      <c r="M169" s="12" t="b">
        <f t="shared" si="3"/>
        <v>0</v>
      </c>
    </row>
    <row r="170" spans="2:13" ht="22.5">
      <c r="B170" s="26">
        <v>158</v>
      </c>
      <c r="C170" s="54"/>
      <c r="D170" s="46"/>
      <c r="E170" s="84"/>
      <c r="F170" s="93"/>
      <c r="G170" s="52"/>
      <c r="H170" s="106"/>
      <c r="I170" s="106"/>
      <c r="J170" s="106"/>
      <c r="K170" s="103"/>
      <c r="L170" s="107"/>
      <c r="M170" s="12" t="b">
        <f t="shared" si="3"/>
        <v>0</v>
      </c>
    </row>
    <row r="171" spans="2:13" ht="22.5">
      <c r="B171" s="26">
        <v>159</v>
      </c>
      <c r="C171" s="54"/>
      <c r="D171" s="46"/>
      <c r="E171" s="84"/>
      <c r="F171" s="93"/>
      <c r="G171" s="52"/>
      <c r="H171" s="106"/>
      <c r="I171" s="106"/>
      <c r="J171" s="106"/>
      <c r="K171" s="103"/>
      <c r="L171" s="107"/>
      <c r="M171" s="12" t="b">
        <f t="shared" si="3"/>
        <v>0</v>
      </c>
    </row>
    <row r="172" spans="2:13" ht="22.5">
      <c r="B172" s="26">
        <v>160</v>
      </c>
      <c r="C172" s="54"/>
      <c r="D172" s="46"/>
      <c r="E172" s="84"/>
      <c r="F172" s="93"/>
      <c r="G172" s="52"/>
      <c r="H172" s="106"/>
      <c r="I172" s="106"/>
      <c r="J172" s="106"/>
      <c r="K172" s="103"/>
      <c r="L172" s="107"/>
      <c r="M172" s="12" t="b">
        <f t="shared" si="3"/>
        <v>0</v>
      </c>
    </row>
    <row r="173" spans="2:13" ht="22.5">
      <c r="B173" s="26">
        <v>161</v>
      </c>
      <c r="C173" s="54"/>
      <c r="D173" s="46"/>
      <c r="E173" s="84"/>
      <c r="F173" s="93"/>
      <c r="G173" s="52"/>
      <c r="H173" s="106"/>
      <c r="I173" s="106"/>
      <c r="J173" s="106"/>
      <c r="K173" s="103"/>
      <c r="L173" s="107"/>
      <c r="M173" s="12" t="b">
        <f t="shared" si="3"/>
        <v>0</v>
      </c>
    </row>
    <row r="174" spans="2:13" ht="22.5">
      <c r="B174" s="26">
        <v>162</v>
      </c>
      <c r="C174" s="54"/>
      <c r="D174" s="46"/>
      <c r="E174" s="84"/>
      <c r="F174" s="93"/>
      <c r="G174" s="52"/>
      <c r="H174" s="106"/>
      <c r="I174" s="106"/>
      <c r="J174" s="106"/>
      <c r="K174" s="103"/>
      <c r="L174" s="107"/>
      <c r="M174" s="12" t="b">
        <f t="shared" si="3"/>
        <v>0</v>
      </c>
    </row>
    <row r="175" spans="2:13" ht="22.5">
      <c r="B175" s="26">
        <v>163</v>
      </c>
      <c r="C175" s="54"/>
      <c r="D175" s="46"/>
      <c r="E175" s="84"/>
      <c r="F175" s="93"/>
      <c r="G175" s="52"/>
      <c r="H175" s="106"/>
      <c r="I175" s="106"/>
      <c r="J175" s="106"/>
      <c r="K175" s="103"/>
      <c r="L175" s="107"/>
      <c r="M175" s="12" t="b">
        <f t="shared" si="3"/>
        <v>0</v>
      </c>
    </row>
    <row r="176" spans="2:13" ht="22.5">
      <c r="B176" s="26">
        <v>164</v>
      </c>
      <c r="C176" s="54"/>
      <c r="D176" s="46"/>
      <c r="E176" s="84"/>
      <c r="F176" s="93"/>
      <c r="G176" s="52"/>
      <c r="H176" s="106"/>
      <c r="I176" s="106"/>
      <c r="J176" s="106"/>
      <c r="K176" s="103"/>
      <c r="L176" s="107"/>
      <c r="M176" s="12" t="b">
        <f t="shared" si="3"/>
        <v>0</v>
      </c>
    </row>
    <row r="177" spans="2:13" ht="22.5">
      <c r="B177" s="26">
        <v>165</v>
      </c>
      <c r="C177" s="54"/>
      <c r="D177" s="46"/>
      <c r="E177" s="84"/>
      <c r="F177" s="93"/>
      <c r="G177" s="52"/>
      <c r="H177" s="106"/>
      <c r="I177" s="106"/>
      <c r="J177" s="106"/>
      <c r="K177" s="103"/>
      <c r="L177" s="107"/>
      <c r="M177" s="12" t="b">
        <f t="shared" si="3"/>
        <v>0</v>
      </c>
    </row>
    <row r="178" spans="2:13" ht="22.5">
      <c r="B178" s="26">
        <v>166</v>
      </c>
      <c r="C178" s="54"/>
      <c r="D178" s="46"/>
      <c r="E178" s="84"/>
      <c r="F178" s="93"/>
      <c r="G178" s="52"/>
      <c r="H178" s="106"/>
      <c r="I178" s="106"/>
      <c r="J178" s="106"/>
      <c r="K178" s="103"/>
      <c r="L178" s="107"/>
      <c r="M178" s="12" t="b">
        <f t="shared" si="3"/>
        <v>0</v>
      </c>
    </row>
    <row r="179" spans="2:13" ht="22.5">
      <c r="B179" s="26">
        <v>167</v>
      </c>
      <c r="C179" s="54"/>
      <c r="D179" s="46"/>
      <c r="E179" s="84"/>
      <c r="F179" s="93"/>
      <c r="G179" s="52"/>
      <c r="H179" s="106"/>
      <c r="I179" s="106"/>
      <c r="J179" s="106"/>
      <c r="K179" s="103"/>
      <c r="L179" s="107"/>
      <c r="M179" s="12" t="b">
        <f t="shared" si="3"/>
        <v>0</v>
      </c>
    </row>
    <row r="180" spans="2:13" ht="22.5">
      <c r="B180" s="26">
        <v>168</v>
      </c>
      <c r="C180" s="54"/>
      <c r="D180" s="46"/>
      <c r="E180" s="84"/>
      <c r="F180" s="93"/>
      <c r="G180" s="52"/>
      <c r="H180" s="106"/>
      <c r="I180" s="106"/>
      <c r="J180" s="106"/>
      <c r="K180" s="103"/>
      <c r="L180" s="107"/>
      <c r="M180" s="12" t="b">
        <f t="shared" si="3"/>
        <v>0</v>
      </c>
    </row>
    <row r="181" spans="2:13" ht="22.5">
      <c r="B181" s="26">
        <v>169</v>
      </c>
      <c r="C181" s="54"/>
      <c r="D181" s="46"/>
      <c r="E181" s="84"/>
      <c r="F181" s="93"/>
      <c r="G181" s="52"/>
      <c r="H181" s="106"/>
      <c r="I181" s="106"/>
      <c r="J181" s="106"/>
      <c r="K181" s="103"/>
      <c r="L181" s="107"/>
      <c r="M181" s="12" t="b">
        <f t="shared" si="3"/>
        <v>0</v>
      </c>
    </row>
    <row r="182" spans="2:13" ht="22.5">
      <c r="B182" s="26">
        <v>170</v>
      </c>
      <c r="C182" s="54"/>
      <c r="D182" s="46"/>
      <c r="E182" s="84"/>
      <c r="F182" s="93"/>
      <c r="G182" s="52"/>
      <c r="H182" s="106"/>
      <c r="I182" s="106"/>
      <c r="J182" s="106"/>
      <c r="K182" s="103"/>
      <c r="L182" s="107"/>
      <c r="M182" s="12" t="b">
        <f t="shared" si="3"/>
        <v>0</v>
      </c>
    </row>
    <row r="183" spans="2:13" ht="22.5">
      <c r="B183" s="26">
        <v>171</v>
      </c>
      <c r="C183" s="54"/>
      <c r="D183" s="46"/>
      <c r="E183" s="84"/>
      <c r="F183" s="93"/>
      <c r="G183" s="52"/>
      <c r="H183" s="106"/>
      <c r="I183" s="106"/>
      <c r="J183" s="106"/>
      <c r="K183" s="103"/>
      <c r="L183" s="107"/>
      <c r="M183" s="12" t="b">
        <f t="shared" si="3"/>
        <v>0</v>
      </c>
    </row>
    <row r="184" spans="2:13" ht="22.5">
      <c r="B184" s="26">
        <v>172</v>
      </c>
      <c r="C184" s="54"/>
      <c r="D184" s="46"/>
      <c r="E184" s="84"/>
      <c r="F184" s="93"/>
      <c r="G184" s="52"/>
      <c r="H184" s="106"/>
      <c r="I184" s="106"/>
      <c r="J184" s="106"/>
      <c r="K184" s="103"/>
      <c r="L184" s="107"/>
      <c r="M184" s="12" t="b">
        <f t="shared" si="3"/>
        <v>0</v>
      </c>
    </row>
    <row r="185" spans="2:13" ht="22.5">
      <c r="B185" s="26">
        <v>173</v>
      </c>
      <c r="C185" s="54"/>
      <c r="D185" s="46"/>
      <c r="E185" s="84"/>
      <c r="F185" s="93"/>
      <c r="G185" s="52"/>
      <c r="H185" s="106"/>
      <c r="I185" s="106"/>
      <c r="J185" s="106"/>
      <c r="K185" s="103"/>
      <c r="L185" s="107"/>
      <c r="M185" s="12" t="b">
        <f t="shared" si="3"/>
        <v>0</v>
      </c>
    </row>
    <row r="186" spans="2:13" ht="22.5">
      <c r="B186" s="26">
        <v>174</v>
      </c>
      <c r="C186" s="54"/>
      <c r="D186" s="46"/>
      <c r="E186" s="84"/>
      <c r="F186" s="93"/>
      <c r="G186" s="52"/>
      <c r="H186" s="106"/>
      <c r="I186" s="106"/>
      <c r="J186" s="106"/>
      <c r="K186" s="103"/>
      <c r="L186" s="107"/>
      <c r="M186" s="12" t="b">
        <f t="shared" si="3"/>
        <v>0</v>
      </c>
    </row>
    <row r="187" spans="2:13" ht="22.5">
      <c r="B187" s="26">
        <v>175</v>
      </c>
      <c r="C187" s="54"/>
      <c r="D187" s="46"/>
      <c r="E187" s="84"/>
      <c r="F187" s="93"/>
      <c r="G187" s="52"/>
      <c r="H187" s="106"/>
      <c r="I187" s="106"/>
      <c r="J187" s="106"/>
      <c r="K187" s="103"/>
      <c r="L187" s="107"/>
      <c r="M187" s="12" t="b">
        <f t="shared" si="3"/>
        <v>0</v>
      </c>
    </row>
    <row r="188" spans="2:13" ht="22.5">
      <c r="B188" s="26">
        <v>176</v>
      </c>
      <c r="C188" s="54"/>
      <c r="D188" s="46"/>
      <c r="E188" s="84"/>
      <c r="F188" s="93"/>
      <c r="G188" s="52"/>
      <c r="H188" s="106"/>
      <c r="I188" s="106"/>
      <c r="J188" s="106"/>
      <c r="K188" s="103"/>
      <c r="L188" s="107"/>
      <c r="M188" s="12" t="b">
        <f t="shared" si="3"/>
        <v>0</v>
      </c>
    </row>
    <row r="189" spans="2:13" ht="22.5">
      <c r="B189" s="26">
        <v>177</v>
      </c>
      <c r="C189" s="54"/>
      <c r="D189" s="46"/>
      <c r="E189" s="84"/>
      <c r="F189" s="93"/>
      <c r="G189" s="52"/>
      <c r="H189" s="106"/>
      <c r="I189" s="106"/>
      <c r="J189" s="106"/>
      <c r="K189" s="103"/>
      <c r="L189" s="107"/>
      <c r="M189" s="12" t="b">
        <f t="shared" si="3"/>
        <v>0</v>
      </c>
    </row>
    <row r="190" spans="2:13" ht="22.5">
      <c r="B190" s="26">
        <v>178</v>
      </c>
      <c r="C190" s="54"/>
      <c r="D190" s="46"/>
      <c r="E190" s="84"/>
      <c r="F190" s="93"/>
      <c r="G190" s="52"/>
      <c r="H190" s="106"/>
      <c r="I190" s="106"/>
      <c r="J190" s="106"/>
      <c r="K190" s="103"/>
      <c r="L190" s="107"/>
      <c r="M190" s="12" t="b">
        <f t="shared" si="3"/>
        <v>0</v>
      </c>
    </row>
    <row r="191" spans="2:13" ht="22.5">
      <c r="B191" s="26">
        <v>179</v>
      </c>
      <c r="C191" s="54"/>
      <c r="D191" s="46"/>
      <c r="E191" s="84"/>
      <c r="F191" s="93"/>
      <c r="G191" s="52"/>
      <c r="H191" s="106"/>
      <c r="I191" s="106"/>
      <c r="J191" s="106"/>
      <c r="K191" s="103"/>
      <c r="L191" s="107"/>
      <c r="M191" s="12" t="b">
        <f t="shared" si="3"/>
        <v>0</v>
      </c>
    </row>
    <row r="192" spans="2:13" ht="22.5">
      <c r="B192" s="26">
        <v>180</v>
      </c>
      <c r="C192" s="54"/>
      <c r="D192" s="46"/>
      <c r="E192" s="84"/>
      <c r="F192" s="93"/>
      <c r="G192" s="52"/>
      <c r="H192" s="106"/>
      <c r="I192" s="106"/>
      <c r="J192" s="106"/>
      <c r="K192" s="103"/>
      <c r="L192" s="107"/>
      <c r="M192" s="12" t="b">
        <f t="shared" si="3"/>
        <v>0</v>
      </c>
    </row>
    <row r="193" spans="2:13" ht="22.5">
      <c r="B193" s="26">
        <v>181</v>
      </c>
      <c r="C193" s="54"/>
      <c r="D193" s="46"/>
      <c r="E193" s="84"/>
      <c r="F193" s="93"/>
      <c r="G193" s="52"/>
      <c r="H193" s="106"/>
      <c r="I193" s="106"/>
      <c r="J193" s="106"/>
      <c r="K193" s="103"/>
      <c r="L193" s="107"/>
      <c r="M193" s="12" t="b">
        <f t="shared" si="3"/>
        <v>0</v>
      </c>
    </row>
    <row r="194" spans="2:13" ht="22.5">
      <c r="B194" s="26">
        <v>182</v>
      </c>
      <c r="C194" s="54"/>
      <c r="D194" s="46"/>
      <c r="E194" s="84"/>
      <c r="F194" s="93"/>
      <c r="G194" s="52"/>
      <c r="H194" s="106"/>
      <c r="I194" s="106"/>
      <c r="J194" s="106"/>
      <c r="K194" s="103"/>
      <c r="L194" s="107"/>
      <c r="M194" s="12" t="b">
        <f t="shared" si="3"/>
        <v>0</v>
      </c>
    </row>
    <row r="195" spans="2:13" ht="22.5">
      <c r="B195" s="26">
        <v>183</v>
      </c>
      <c r="C195" s="54"/>
      <c r="D195" s="46"/>
      <c r="E195" s="84"/>
      <c r="F195" s="93"/>
      <c r="G195" s="52"/>
      <c r="H195" s="106"/>
      <c r="I195" s="106"/>
      <c r="J195" s="106"/>
      <c r="K195" s="103"/>
      <c r="L195" s="107"/>
      <c r="M195" s="12" t="b">
        <f t="shared" si="3"/>
        <v>0</v>
      </c>
    </row>
    <row r="196" spans="2:13" ht="22.5">
      <c r="B196" s="26">
        <v>184</v>
      </c>
      <c r="C196" s="54"/>
      <c r="D196" s="46"/>
      <c r="E196" s="84"/>
      <c r="F196" s="93"/>
      <c r="G196" s="52"/>
      <c r="H196" s="106"/>
      <c r="I196" s="106"/>
      <c r="J196" s="106"/>
      <c r="K196" s="103"/>
      <c r="L196" s="107"/>
      <c r="M196" s="12" t="b">
        <f t="shared" si="3"/>
        <v>0</v>
      </c>
    </row>
    <row r="197" spans="2:13" ht="22.5">
      <c r="B197" s="26">
        <v>185</v>
      </c>
      <c r="C197" s="54"/>
      <c r="D197" s="46"/>
      <c r="E197" s="84"/>
      <c r="F197" s="93"/>
      <c r="G197" s="52"/>
      <c r="H197" s="106"/>
      <c r="I197" s="106"/>
      <c r="J197" s="106"/>
      <c r="K197" s="103"/>
      <c r="L197" s="107"/>
      <c r="M197" s="12" t="b">
        <f t="shared" si="3"/>
        <v>0</v>
      </c>
    </row>
    <row r="198" spans="2:13" ht="22.5">
      <c r="B198" s="26">
        <v>186</v>
      </c>
      <c r="C198" s="54"/>
      <c r="D198" s="46"/>
      <c r="E198" s="84"/>
      <c r="F198" s="93"/>
      <c r="G198" s="52"/>
      <c r="H198" s="106"/>
      <c r="I198" s="106"/>
      <c r="J198" s="106"/>
      <c r="K198" s="103"/>
      <c r="L198" s="107"/>
      <c r="M198" s="12" t="b">
        <f t="shared" si="3"/>
        <v>0</v>
      </c>
    </row>
    <row r="199" spans="2:13" ht="22.5">
      <c r="B199" s="26">
        <v>187</v>
      </c>
      <c r="C199" s="54"/>
      <c r="D199" s="46"/>
      <c r="E199" s="84"/>
      <c r="F199" s="93"/>
      <c r="G199" s="52"/>
      <c r="H199" s="106"/>
      <c r="I199" s="106"/>
      <c r="J199" s="106"/>
      <c r="K199" s="103"/>
      <c r="L199" s="107"/>
      <c r="M199" s="12" t="b">
        <f t="shared" si="3"/>
        <v>0</v>
      </c>
    </row>
    <row r="200" spans="2:13" ht="22.5">
      <c r="B200" s="26">
        <v>188</v>
      </c>
      <c r="C200" s="54"/>
      <c r="D200" s="46"/>
      <c r="E200" s="84"/>
      <c r="F200" s="93"/>
      <c r="G200" s="52"/>
      <c r="H200" s="106"/>
      <c r="I200" s="106"/>
      <c r="J200" s="106"/>
      <c r="K200" s="103"/>
      <c r="L200" s="107"/>
      <c r="M200" s="12" t="b">
        <f t="shared" si="3"/>
        <v>0</v>
      </c>
    </row>
    <row r="201" spans="2:13" ht="22.5">
      <c r="B201" s="26">
        <v>189</v>
      </c>
      <c r="C201" s="54"/>
      <c r="D201" s="46"/>
      <c r="E201" s="84"/>
      <c r="F201" s="93"/>
      <c r="G201" s="52"/>
      <c r="H201" s="106"/>
      <c r="I201" s="106"/>
      <c r="J201" s="106"/>
      <c r="K201" s="103"/>
      <c r="L201" s="107"/>
      <c r="M201" s="12" t="b">
        <f t="shared" si="3"/>
        <v>0</v>
      </c>
    </row>
    <row r="202" spans="2:13" ht="22.5">
      <c r="B202" s="26">
        <v>190</v>
      </c>
      <c r="C202" s="54"/>
      <c r="D202" s="46"/>
      <c r="E202" s="84"/>
      <c r="F202" s="93"/>
      <c r="G202" s="52"/>
      <c r="H202" s="106"/>
      <c r="I202" s="106"/>
      <c r="J202" s="106"/>
      <c r="K202" s="103"/>
      <c r="L202" s="107"/>
      <c r="M202" s="12" t="b">
        <f t="shared" si="3"/>
        <v>0</v>
      </c>
    </row>
    <row r="203" spans="2:13" ht="22.5">
      <c r="B203" s="26">
        <v>191</v>
      </c>
      <c r="C203" s="54"/>
      <c r="D203" s="46"/>
      <c r="E203" s="84"/>
      <c r="F203" s="93"/>
      <c r="G203" s="52"/>
      <c r="H203" s="106"/>
      <c r="I203" s="106"/>
      <c r="J203" s="106"/>
      <c r="K203" s="103"/>
      <c r="L203" s="107"/>
      <c r="M203" s="12" t="b">
        <f t="shared" si="3"/>
        <v>0</v>
      </c>
    </row>
    <row r="204" spans="2:13" ht="22.5">
      <c r="B204" s="26">
        <v>192</v>
      </c>
      <c r="C204" s="54"/>
      <c r="D204" s="46"/>
      <c r="E204" s="84"/>
      <c r="F204" s="93"/>
      <c r="G204" s="52"/>
      <c r="H204" s="106"/>
      <c r="I204" s="106"/>
      <c r="J204" s="106"/>
      <c r="K204" s="103"/>
      <c r="L204" s="107"/>
      <c r="M204" s="12" t="b">
        <f t="shared" si="3"/>
        <v>0</v>
      </c>
    </row>
    <row r="205" spans="2:13" ht="22.5">
      <c r="B205" s="26">
        <v>193</v>
      </c>
      <c r="C205" s="54"/>
      <c r="D205" s="46"/>
      <c r="E205" s="84"/>
      <c r="F205" s="93"/>
      <c r="G205" s="52"/>
      <c r="H205" s="106"/>
      <c r="I205" s="106"/>
      <c r="J205" s="106"/>
      <c r="K205" s="103"/>
      <c r="L205" s="107"/>
      <c r="M205" s="12" t="b">
        <f t="shared" ref="M205:M268" si="4">IF(COUNTA(E205:G205)=0,FALSE,TRUE)</f>
        <v>0</v>
      </c>
    </row>
    <row r="206" spans="2:13" ht="22.5">
      <c r="B206" s="26">
        <v>194</v>
      </c>
      <c r="C206" s="54"/>
      <c r="D206" s="46"/>
      <c r="E206" s="84"/>
      <c r="F206" s="93"/>
      <c r="G206" s="52"/>
      <c r="H206" s="106"/>
      <c r="I206" s="106"/>
      <c r="J206" s="106"/>
      <c r="K206" s="103"/>
      <c r="L206" s="107"/>
      <c r="M206" s="12" t="b">
        <f t="shared" si="4"/>
        <v>0</v>
      </c>
    </row>
    <row r="207" spans="2:13" ht="22.5">
      <c r="B207" s="26">
        <v>195</v>
      </c>
      <c r="C207" s="54"/>
      <c r="D207" s="46"/>
      <c r="E207" s="84"/>
      <c r="F207" s="93"/>
      <c r="G207" s="52"/>
      <c r="H207" s="106"/>
      <c r="I207" s="106"/>
      <c r="J207" s="106"/>
      <c r="K207" s="103"/>
      <c r="L207" s="107"/>
      <c r="M207" s="12" t="b">
        <f t="shared" si="4"/>
        <v>0</v>
      </c>
    </row>
    <row r="208" spans="2:13" ht="22.5">
      <c r="B208" s="26">
        <v>196</v>
      </c>
      <c r="C208" s="54"/>
      <c r="D208" s="46"/>
      <c r="E208" s="84"/>
      <c r="F208" s="93"/>
      <c r="G208" s="52"/>
      <c r="H208" s="106"/>
      <c r="I208" s="106"/>
      <c r="J208" s="106"/>
      <c r="K208" s="103"/>
      <c r="L208" s="107"/>
      <c r="M208" s="12" t="b">
        <f t="shared" si="4"/>
        <v>0</v>
      </c>
    </row>
    <row r="209" spans="2:13" ht="22.5">
      <c r="B209" s="26">
        <v>197</v>
      </c>
      <c r="C209" s="54"/>
      <c r="D209" s="46"/>
      <c r="E209" s="84"/>
      <c r="F209" s="93"/>
      <c r="G209" s="52"/>
      <c r="H209" s="106"/>
      <c r="I209" s="106"/>
      <c r="J209" s="106"/>
      <c r="K209" s="103"/>
      <c r="L209" s="107"/>
      <c r="M209" s="12" t="b">
        <f t="shared" si="4"/>
        <v>0</v>
      </c>
    </row>
    <row r="210" spans="2:13" ht="22.5">
      <c r="B210" s="26">
        <v>198</v>
      </c>
      <c r="C210" s="54"/>
      <c r="D210" s="46"/>
      <c r="E210" s="84"/>
      <c r="F210" s="93"/>
      <c r="G210" s="52"/>
      <c r="H210" s="106"/>
      <c r="I210" s="106"/>
      <c r="J210" s="106"/>
      <c r="K210" s="103"/>
      <c r="L210" s="107"/>
      <c r="M210" s="12" t="b">
        <f t="shared" si="4"/>
        <v>0</v>
      </c>
    </row>
    <row r="211" spans="2:13" ht="22.5">
      <c r="B211" s="26">
        <v>199</v>
      </c>
      <c r="C211" s="54"/>
      <c r="D211" s="46"/>
      <c r="E211" s="84"/>
      <c r="F211" s="93"/>
      <c r="G211" s="52"/>
      <c r="H211" s="106"/>
      <c r="I211" s="106"/>
      <c r="J211" s="106"/>
      <c r="K211" s="103"/>
      <c r="L211" s="107"/>
      <c r="M211" s="12" t="b">
        <f t="shared" si="4"/>
        <v>0</v>
      </c>
    </row>
    <row r="212" spans="2:13" ht="22.5">
      <c r="B212" s="26">
        <v>200</v>
      </c>
      <c r="C212" s="54"/>
      <c r="D212" s="46"/>
      <c r="E212" s="84"/>
      <c r="F212" s="93"/>
      <c r="G212" s="52"/>
      <c r="H212" s="106"/>
      <c r="I212" s="106"/>
      <c r="J212" s="106"/>
      <c r="K212" s="103"/>
      <c r="L212" s="107"/>
      <c r="M212" s="12" t="b">
        <f t="shared" si="4"/>
        <v>0</v>
      </c>
    </row>
    <row r="213" spans="2:13" ht="22.5">
      <c r="B213" s="26">
        <v>201</v>
      </c>
      <c r="C213" s="54"/>
      <c r="D213" s="46"/>
      <c r="E213" s="84"/>
      <c r="F213" s="93"/>
      <c r="G213" s="52"/>
      <c r="H213" s="106"/>
      <c r="I213" s="106"/>
      <c r="J213" s="106"/>
      <c r="K213" s="103"/>
      <c r="L213" s="107"/>
      <c r="M213" s="12" t="b">
        <f t="shared" si="4"/>
        <v>0</v>
      </c>
    </row>
    <row r="214" spans="2:13" ht="22.5">
      <c r="B214" s="26">
        <v>202</v>
      </c>
      <c r="C214" s="54"/>
      <c r="D214" s="46"/>
      <c r="E214" s="84"/>
      <c r="F214" s="93"/>
      <c r="G214" s="52"/>
      <c r="H214" s="106"/>
      <c r="I214" s="106"/>
      <c r="J214" s="106"/>
      <c r="K214" s="103"/>
      <c r="L214" s="107"/>
      <c r="M214" s="12" t="b">
        <f t="shared" si="4"/>
        <v>0</v>
      </c>
    </row>
    <row r="215" spans="2:13" ht="22.5">
      <c r="B215" s="26">
        <v>203</v>
      </c>
      <c r="C215" s="54"/>
      <c r="D215" s="46"/>
      <c r="E215" s="84"/>
      <c r="F215" s="93"/>
      <c r="G215" s="52"/>
      <c r="H215" s="106"/>
      <c r="I215" s="106"/>
      <c r="J215" s="106"/>
      <c r="K215" s="103"/>
      <c r="L215" s="107"/>
      <c r="M215" s="12" t="b">
        <f t="shared" si="4"/>
        <v>0</v>
      </c>
    </row>
    <row r="216" spans="2:13" ht="22.5">
      <c r="B216" s="26">
        <v>204</v>
      </c>
      <c r="C216" s="54"/>
      <c r="D216" s="46"/>
      <c r="E216" s="84"/>
      <c r="F216" s="93"/>
      <c r="G216" s="52"/>
      <c r="H216" s="106"/>
      <c r="I216" s="106"/>
      <c r="J216" s="106"/>
      <c r="K216" s="103"/>
      <c r="L216" s="107"/>
      <c r="M216" s="12" t="b">
        <f t="shared" si="4"/>
        <v>0</v>
      </c>
    </row>
    <row r="217" spans="2:13" ht="22.5">
      <c r="B217" s="26">
        <v>205</v>
      </c>
      <c r="C217" s="54"/>
      <c r="D217" s="46"/>
      <c r="E217" s="84"/>
      <c r="F217" s="93"/>
      <c r="G217" s="52"/>
      <c r="H217" s="106"/>
      <c r="I217" s="106"/>
      <c r="J217" s="106"/>
      <c r="K217" s="103"/>
      <c r="L217" s="107"/>
      <c r="M217" s="12" t="b">
        <f t="shared" si="4"/>
        <v>0</v>
      </c>
    </row>
    <row r="218" spans="2:13" ht="22.5">
      <c r="B218" s="26">
        <v>206</v>
      </c>
      <c r="C218" s="54"/>
      <c r="D218" s="46"/>
      <c r="E218" s="84"/>
      <c r="F218" s="93"/>
      <c r="G218" s="52"/>
      <c r="H218" s="106"/>
      <c r="I218" s="106"/>
      <c r="J218" s="106"/>
      <c r="K218" s="103"/>
      <c r="L218" s="107"/>
      <c r="M218" s="12" t="b">
        <f t="shared" si="4"/>
        <v>0</v>
      </c>
    </row>
    <row r="219" spans="2:13" ht="22.5">
      <c r="B219" s="26">
        <v>207</v>
      </c>
      <c r="C219" s="54"/>
      <c r="D219" s="46"/>
      <c r="E219" s="84"/>
      <c r="F219" s="93"/>
      <c r="G219" s="52"/>
      <c r="H219" s="106"/>
      <c r="I219" s="106"/>
      <c r="J219" s="106"/>
      <c r="K219" s="103"/>
      <c r="L219" s="107"/>
      <c r="M219" s="12" t="b">
        <f t="shared" si="4"/>
        <v>0</v>
      </c>
    </row>
    <row r="220" spans="2:13" ht="22.5">
      <c r="B220" s="26">
        <v>208</v>
      </c>
      <c r="C220" s="54"/>
      <c r="D220" s="46"/>
      <c r="E220" s="84"/>
      <c r="F220" s="93"/>
      <c r="G220" s="52"/>
      <c r="H220" s="106"/>
      <c r="I220" s="106"/>
      <c r="J220" s="106"/>
      <c r="K220" s="103"/>
      <c r="L220" s="107"/>
      <c r="M220" s="12" t="b">
        <f t="shared" si="4"/>
        <v>0</v>
      </c>
    </row>
    <row r="221" spans="2:13" ht="22.5">
      <c r="B221" s="26">
        <v>209</v>
      </c>
      <c r="C221" s="54"/>
      <c r="D221" s="46"/>
      <c r="E221" s="84"/>
      <c r="F221" s="93"/>
      <c r="G221" s="52"/>
      <c r="H221" s="106"/>
      <c r="I221" s="106"/>
      <c r="J221" s="106"/>
      <c r="K221" s="103"/>
      <c r="L221" s="107"/>
      <c r="M221" s="12" t="b">
        <f t="shared" si="4"/>
        <v>0</v>
      </c>
    </row>
    <row r="222" spans="2:13" ht="22.5">
      <c r="B222" s="26">
        <v>210</v>
      </c>
      <c r="C222" s="54"/>
      <c r="D222" s="46"/>
      <c r="E222" s="84"/>
      <c r="F222" s="93"/>
      <c r="G222" s="52"/>
      <c r="H222" s="106"/>
      <c r="I222" s="106"/>
      <c r="J222" s="106"/>
      <c r="K222" s="103"/>
      <c r="L222" s="107"/>
      <c r="M222" s="12" t="b">
        <f t="shared" si="4"/>
        <v>0</v>
      </c>
    </row>
    <row r="223" spans="2:13" ht="22.5">
      <c r="B223" s="26">
        <v>211</v>
      </c>
      <c r="C223" s="54"/>
      <c r="D223" s="46"/>
      <c r="E223" s="84"/>
      <c r="F223" s="93"/>
      <c r="G223" s="52"/>
      <c r="H223" s="106"/>
      <c r="I223" s="106"/>
      <c r="J223" s="106"/>
      <c r="K223" s="103"/>
      <c r="L223" s="107"/>
      <c r="M223" s="12" t="b">
        <f t="shared" si="4"/>
        <v>0</v>
      </c>
    </row>
    <row r="224" spans="2:13" ht="22.5">
      <c r="B224" s="26">
        <v>212</v>
      </c>
      <c r="C224" s="54"/>
      <c r="D224" s="46"/>
      <c r="E224" s="84"/>
      <c r="F224" s="93"/>
      <c r="G224" s="52"/>
      <c r="H224" s="106"/>
      <c r="I224" s="106"/>
      <c r="J224" s="106"/>
      <c r="K224" s="103"/>
      <c r="L224" s="107"/>
      <c r="M224" s="12" t="b">
        <f t="shared" si="4"/>
        <v>0</v>
      </c>
    </row>
    <row r="225" spans="2:13" ht="22.5">
      <c r="B225" s="26">
        <v>213</v>
      </c>
      <c r="C225" s="54"/>
      <c r="D225" s="46"/>
      <c r="E225" s="84"/>
      <c r="F225" s="93"/>
      <c r="G225" s="52"/>
      <c r="H225" s="106"/>
      <c r="I225" s="106"/>
      <c r="J225" s="106"/>
      <c r="K225" s="103"/>
      <c r="L225" s="107"/>
      <c r="M225" s="12" t="b">
        <f t="shared" si="4"/>
        <v>0</v>
      </c>
    </row>
    <row r="226" spans="2:13" ht="22.5">
      <c r="B226" s="26">
        <v>214</v>
      </c>
      <c r="C226" s="54"/>
      <c r="D226" s="46"/>
      <c r="E226" s="84"/>
      <c r="F226" s="93"/>
      <c r="G226" s="52"/>
      <c r="H226" s="106"/>
      <c r="I226" s="106"/>
      <c r="J226" s="106"/>
      <c r="K226" s="103"/>
      <c r="L226" s="107"/>
      <c r="M226" s="12" t="b">
        <f t="shared" si="4"/>
        <v>0</v>
      </c>
    </row>
    <row r="227" spans="2:13" ht="22.5">
      <c r="B227" s="26">
        <v>215</v>
      </c>
      <c r="C227" s="54"/>
      <c r="D227" s="46"/>
      <c r="E227" s="84"/>
      <c r="F227" s="93"/>
      <c r="G227" s="52"/>
      <c r="H227" s="106"/>
      <c r="I227" s="106"/>
      <c r="J227" s="106"/>
      <c r="K227" s="103"/>
      <c r="L227" s="107"/>
      <c r="M227" s="12" t="b">
        <f t="shared" si="4"/>
        <v>0</v>
      </c>
    </row>
    <row r="228" spans="2:13" ht="22.5">
      <c r="B228" s="26">
        <v>216</v>
      </c>
      <c r="C228" s="54"/>
      <c r="D228" s="46"/>
      <c r="E228" s="84"/>
      <c r="F228" s="93"/>
      <c r="G228" s="52"/>
      <c r="H228" s="106"/>
      <c r="I228" s="106"/>
      <c r="J228" s="106"/>
      <c r="K228" s="103"/>
      <c r="L228" s="107"/>
      <c r="M228" s="12" t="b">
        <f t="shared" si="4"/>
        <v>0</v>
      </c>
    </row>
    <row r="229" spans="2:13" ht="22.5">
      <c r="B229" s="26">
        <v>217</v>
      </c>
      <c r="C229" s="54"/>
      <c r="D229" s="46"/>
      <c r="E229" s="84"/>
      <c r="F229" s="93"/>
      <c r="G229" s="52"/>
      <c r="H229" s="106"/>
      <c r="I229" s="106"/>
      <c r="J229" s="106"/>
      <c r="K229" s="103"/>
      <c r="L229" s="107"/>
      <c r="M229" s="12" t="b">
        <f t="shared" si="4"/>
        <v>0</v>
      </c>
    </row>
    <row r="230" spans="2:13" ht="22.5">
      <c r="B230" s="26">
        <v>218</v>
      </c>
      <c r="C230" s="54"/>
      <c r="D230" s="46"/>
      <c r="E230" s="84"/>
      <c r="F230" s="93"/>
      <c r="G230" s="52"/>
      <c r="H230" s="106"/>
      <c r="I230" s="106"/>
      <c r="J230" s="106"/>
      <c r="K230" s="103"/>
      <c r="L230" s="107"/>
      <c r="M230" s="12" t="b">
        <f t="shared" si="4"/>
        <v>0</v>
      </c>
    </row>
    <row r="231" spans="2:13" ht="22.5">
      <c r="B231" s="26">
        <v>219</v>
      </c>
      <c r="C231" s="54"/>
      <c r="D231" s="46"/>
      <c r="E231" s="84"/>
      <c r="F231" s="93"/>
      <c r="G231" s="52"/>
      <c r="H231" s="106"/>
      <c r="I231" s="106"/>
      <c r="J231" s="106"/>
      <c r="K231" s="103"/>
      <c r="L231" s="107"/>
      <c r="M231" s="12" t="b">
        <f t="shared" si="4"/>
        <v>0</v>
      </c>
    </row>
    <row r="232" spans="2:13" ht="22.5">
      <c r="B232" s="26">
        <v>220</v>
      </c>
      <c r="C232" s="54"/>
      <c r="D232" s="46"/>
      <c r="E232" s="84"/>
      <c r="F232" s="93"/>
      <c r="G232" s="52"/>
      <c r="H232" s="106"/>
      <c r="I232" s="106"/>
      <c r="J232" s="106"/>
      <c r="K232" s="103"/>
      <c r="L232" s="107"/>
      <c r="M232" s="12" t="b">
        <f t="shared" si="4"/>
        <v>0</v>
      </c>
    </row>
    <row r="233" spans="2:13" ht="22.5">
      <c r="B233" s="26">
        <v>221</v>
      </c>
      <c r="C233" s="54"/>
      <c r="D233" s="46"/>
      <c r="E233" s="84"/>
      <c r="F233" s="93"/>
      <c r="G233" s="52"/>
      <c r="H233" s="106"/>
      <c r="I233" s="106"/>
      <c r="J233" s="106"/>
      <c r="K233" s="103"/>
      <c r="L233" s="107"/>
      <c r="M233" s="12" t="b">
        <f t="shared" si="4"/>
        <v>0</v>
      </c>
    </row>
    <row r="234" spans="2:13" ht="22.5">
      <c r="B234" s="26">
        <v>222</v>
      </c>
      <c r="C234" s="54"/>
      <c r="D234" s="46"/>
      <c r="E234" s="84"/>
      <c r="F234" s="93"/>
      <c r="G234" s="52"/>
      <c r="H234" s="106"/>
      <c r="I234" s="106"/>
      <c r="J234" s="106"/>
      <c r="K234" s="103"/>
      <c r="L234" s="107"/>
      <c r="M234" s="12" t="b">
        <f t="shared" si="4"/>
        <v>0</v>
      </c>
    </row>
    <row r="235" spans="2:13" ht="22.5">
      <c r="B235" s="26">
        <v>223</v>
      </c>
      <c r="C235" s="54"/>
      <c r="D235" s="46"/>
      <c r="E235" s="84"/>
      <c r="F235" s="93"/>
      <c r="G235" s="52"/>
      <c r="H235" s="106"/>
      <c r="I235" s="106"/>
      <c r="J235" s="106"/>
      <c r="K235" s="103"/>
      <c r="L235" s="107"/>
      <c r="M235" s="12" t="b">
        <f t="shared" si="4"/>
        <v>0</v>
      </c>
    </row>
    <row r="236" spans="2:13" ht="22.5">
      <c r="B236" s="26">
        <v>224</v>
      </c>
      <c r="C236" s="54"/>
      <c r="D236" s="46"/>
      <c r="E236" s="84"/>
      <c r="F236" s="93"/>
      <c r="G236" s="52"/>
      <c r="H236" s="106"/>
      <c r="I236" s="106"/>
      <c r="J236" s="106"/>
      <c r="K236" s="103"/>
      <c r="L236" s="107"/>
      <c r="M236" s="12" t="b">
        <f t="shared" si="4"/>
        <v>0</v>
      </c>
    </row>
    <row r="237" spans="2:13" ht="22.5">
      <c r="B237" s="26">
        <v>225</v>
      </c>
      <c r="C237" s="54"/>
      <c r="D237" s="46"/>
      <c r="E237" s="84"/>
      <c r="F237" s="93"/>
      <c r="G237" s="52"/>
      <c r="H237" s="106"/>
      <c r="I237" s="106"/>
      <c r="J237" s="106"/>
      <c r="K237" s="103"/>
      <c r="L237" s="107"/>
      <c r="M237" s="12" t="b">
        <f t="shared" si="4"/>
        <v>0</v>
      </c>
    </row>
    <row r="238" spans="2:13" ht="22.5">
      <c r="B238" s="26">
        <v>226</v>
      </c>
      <c r="C238" s="54"/>
      <c r="D238" s="46"/>
      <c r="E238" s="84"/>
      <c r="F238" s="93"/>
      <c r="G238" s="52"/>
      <c r="H238" s="106"/>
      <c r="I238" s="106"/>
      <c r="J238" s="106"/>
      <c r="K238" s="103"/>
      <c r="L238" s="107"/>
      <c r="M238" s="12" t="b">
        <f t="shared" si="4"/>
        <v>0</v>
      </c>
    </row>
    <row r="239" spans="2:13" ht="22.5">
      <c r="B239" s="26">
        <v>227</v>
      </c>
      <c r="C239" s="54"/>
      <c r="D239" s="46"/>
      <c r="E239" s="84"/>
      <c r="F239" s="93"/>
      <c r="G239" s="52"/>
      <c r="H239" s="106"/>
      <c r="I239" s="106"/>
      <c r="J239" s="106"/>
      <c r="K239" s="103"/>
      <c r="L239" s="107"/>
      <c r="M239" s="12" t="b">
        <f t="shared" si="4"/>
        <v>0</v>
      </c>
    </row>
    <row r="240" spans="2:13" ht="22.5">
      <c r="B240" s="26">
        <v>228</v>
      </c>
      <c r="C240" s="54"/>
      <c r="D240" s="46"/>
      <c r="E240" s="84"/>
      <c r="F240" s="93"/>
      <c r="G240" s="52"/>
      <c r="H240" s="106"/>
      <c r="I240" s="106"/>
      <c r="J240" s="106"/>
      <c r="K240" s="103"/>
      <c r="L240" s="107"/>
      <c r="M240" s="12" t="b">
        <f t="shared" si="4"/>
        <v>0</v>
      </c>
    </row>
    <row r="241" spans="2:13" ht="22.5">
      <c r="B241" s="26">
        <v>229</v>
      </c>
      <c r="C241" s="54"/>
      <c r="D241" s="46"/>
      <c r="E241" s="84"/>
      <c r="F241" s="93"/>
      <c r="G241" s="52"/>
      <c r="H241" s="106"/>
      <c r="I241" s="106"/>
      <c r="J241" s="106"/>
      <c r="K241" s="103"/>
      <c r="L241" s="107"/>
      <c r="M241" s="12" t="b">
        <f t="shared" si="4"/>
        <v>0</v>
      </c>
    </row>
    <row r="242" spans="2:13" ht="22.5">
      <c r="B242" s="26">
        <v>230</v>
      </c>
      <c r="C242" s="54"/>
      <c r="D242" s="46"/>
      <c r="E242" s="84"/>
      <c r="F242" s="93"/>
      <c r="G242" s="52"/>
      <c r="H242" s="106"/>
      <c r="I242" s="106"/>
      <c r="J242" s="106"/>
      <c r="K242" s="103"/>
      <c r="L242" s="107"/>
      <c r="M242" s="12" t="b">
        <f t="shared" si="4"/>
        <v>0</v>
      </c>
    </row>
    <row r="243" spans="2:13" ht="22.5">
      <c r="B243" s="26">
        <v>231</v>
      </c>
      <c r="C243" s="54"/>
      <c r="D243" s="46"/>
      <c r="E243" s="84"/>
      <c r="F243" s="93"/>
      <c r="G243" s="52"/>
      <c r="H243" s="106"/>
      <c r="I243" s="106"/>
      <c r="J243" s="106"/>
      <c r="K243" s="103"/>
      <c r="L243" s="107"/>
      <c r="M243" s="12" t="b">
        <f t="shared" si="4"/>
        <v>0</v>
      </c>
    </row>
    <row r="244" spans="2:13" ht="22.5">
      <c r="B244" s="26">
        <v>232</v>
      </c>
      <c r="C244" s="54"/>
      <c r="D244" s="46"/>
      <c r="E244" s="84"/>
      <c r="F244" s="93"/>
      <c r="G244" s="52"/>
      <c r="H244" s="106"/>
      <c r="I244" s="106"/>
      <c r="J244" s="106"/>
      <c r="K244" s="103"/>
      <c r="L244" s="107"/>
      <c r="M244" s="12" t="b">
        <f t="shared" si="4"/>
        <v>0</v>
      </c>
    </row>
    <row r="245" spans="2:13" ht="22.5">
      <c r="B245" s="26">
        <v>233</v>
      </c>
      <c r="C245" s="54"/>
      <c r="D245" s="46"/>
      <c r="E245" s="84"/>
      <c r="F245" s="93"/>
      <c r="G245" s="52"/>
      <c r="H245" s="106"/>
      <c r="I245" s="106"/>
      <c r="J245" s="106"/>
      <c r="K245" s="103"/>
      <c r="L245" s="107"/>
      <c r="M245" s="12" t="b">
        <f t="shared" si="4"/>
        <v>0</v>
      </c>
    </row>
    <row r="246" spans="2:13" ht="22.5">
      <c r="B246" s="26">
        <v>234</v>
      </c>
      <c r="C246" s="54"/>
      <c r="D246" s="46"/>
      <c r="E246" s="84"/>
      <c r="F246" s="93"/>
      <c r="G246" s="52"/>
      <c r="H246" s="106"/>
      <c r="I246" s="106"/>
      <c r="J246" s="106"/>
      <c r="K246" s="103"/>
      <c r="L246" s="107"/>
      <c r="M246" s="12" t="b">
        <f t="shared" si="4"/>
        <v>0</v>
      </c>
    </row>
    <row r="247" spans="2:13" ht="22.5">
      <c r="B247" s="26">
        <v>235</v>
      </c>
      <c r="C247" s="54"/>
      <c r="D247" s="46"/>
      <c r="E247" s="84"/>
      <c r="F247" s="93"/>
      <c r="G247" s="52"/>
      <c r="H247" s="106"/>
      <c r="I247" s="106"/>
      <c r="J247" s="106"/>
      <c r="K247" s="103"/>
      <c r="L247" s="107"/>
      <c r="M247" s="12" t="b">
        <f t="shared" si="4"/>
        <v>0</v>
      </c>
    </row>
    <row r="248" spans="2:13" ht="22.5">
      <c r="B248" s="26">
        <v>236</v>
      </c>
      <c r="C248" s="54"/>
      <c r="D248" s="46"/>
      <c r="E248" s="84"/>
      <c r="F248" s="93"/>
      <c r="G248" s="52"/>
      <c r="H248" s="106"/>
      <c r="I248" s="106"/>
      <c r="J248" s="106"/>
      <c r="K248" s="103"/>
      <c r="L248" s="107"/>
      <c r="M248" s="12" t="b">
        <f t="shared" si="4"/>
        <v>0</v>
      </c>
    </row>
    <row r="249" spans="2:13" ht="22.5">
      <c r="B249" s="26">
        <v>237</v>
      </c>
      <c r="C249" s="54"/>
      <c r="D249" s="46"/>
      <c r="E249" s="84"/>
      <c r="F249" s="93"/>
      <c r="G249" s="52"/>
      <c r="H249" s="106"/>
      <c r="I249" s="106"/>
      <c r="J249" s="106"/>
      <c r="K249" s="103"/>
      <c r="L249" s="107"/>
      <c r="M249" s="12" t="b">
        <f t="shared" si="4"/>
        <v>0</v>
      </c>
    </row>
    <row r="250" spans="2:13" ht="22.5">
      <c r="B250" s="26">
        <v>238</v>
      </c>
      <c r="C250" s="54"/>
      <c r="D250" s="46"/>
      <c r="E250" s="84"/>
      <c r="F250" s="93"/>
      <c r="G250" s="52"/>
      <c r="H250" s="106"/>
      <c r="I250" s="106"/>
      <c r="J250" s="106"/>
      <c r="K250" s="103"/>
      <c r="L250" s="107"/>
      <c r="M250" s="12" t="b">
        <f t="shared" si="4"/>
        <v>0</v>
      </c>
    </row>
    <row r="251" spans="2:13" ht="22.5">
      <c r="B251" s="26">
        <v>239</v>
      </c>
      <c r="C251" s="54"/>
      <c r="D251" s="46"/>
      <c r="E251" s="84"/>
      <c r="F251" s="93"/>
      <c r="G251" s="52"/>
      <c r="H251" s="106"/>
      <c r="I251" s="106"/>
      <c r="J251" s="106"/>
      <c r="K251" s="103"/>
      <c r="L251" s="107"/>
      <c r="M251" s="12" t="b">
        <f t="shared" si="4"/>
        <v>0</v>
      </c>
    </row>
    <row r="252" spans="2:13" ht="22.5">
      <c r="B252" s="26">
        <v>240</v>
      </c>
      <c r="C252" s="54"/>
      <c r="D252" s="46"/>
      <c r="E252" s="84"/>
      <c r="F252" s="93"/>
      <c r="G252" s="52"/>
      <c r="H252" s="106"/>
      <c r="I252" s="106"/>
      <c r="J252" s="106"/>
      <c r="K252" s="103"/>
      <c r="L252" s="107"/>
      <c r="M252" s="12" t="b">
        <f t="shared" si="4"/>
        <v>0</v>
      </c>
    </row>
    <row r="253" spans="2:13" ht="22.5">
      <c r="B253" s="26">
        <v>241</v>
      </c>
      <c r="C253" s="54"/>
      <c r="D253" s="46"/>
      <c r="E253" s="84"/>
      <c r="F253" s="93"/>
      <c r="G253" s="52"/>
      <c r="H253" s="106"/>
      <c r="I253" s="106"/>
      <c r="J253" s="106"/>
      <c r="K253" s="103"/>
      <c r="L253" s="107"/>
      <c r="M253" s="12" t="b">
        <f t="shared" si="4"/>
        <v>0</v>
      </c>
    </row>
    <row r="254" spans="2:13" ht="22.5">
      <c r="B254" s="26">
        <v>242</v>
      </c>
      <c r="C254" s="54"/>
      <c r="D254" s="46"/>
      <c r="E254" s="84"/>
      <c r="F254" s="93"/>
      <c r="G254" s="52"/>
      <c r="H254" s="106"/>
      <c r="I254" s="106"/>
      <c r="J254" s="106"/>
      <c r="K254" s="103"/>
      <c r="L254" s="107"/>
      <c r="M254" s="12" t="b">
        <f t="shared" si="4"/>
        <v>0</v>
      </c>
    </row>
    <row r="255" spans="2:13" ht="22.5">
      <c r="B255" s="26">
        <v>243</v>
      </c>
      <c r="C255" s="54"/>
      <c r="D255" s="46"/>
      <c r="E255" s="84"/>
      <c r="F255" s="93"/>
      <c r="G255" s="52"/>
      <c r="H255" s="106"/>
      <c r="I255" s="106"/>
      <c r="J255" s="106"/>
      <c r="K255" s="103"/>
      <c r="L255" s="107"/>
      <c r="M255" s="12" t="b">
        <f t="shared" si="4"/>
        <v>0</v>
      </c>
    </row>
    <row r="256" spans="2:13" ht="22.5">
      <c r="B256" s="26">
        <v>244</v>
      </c>
      <c r="C256" s="54"/>
      <c r="D256" s="46"/>
      <c r="E256" s="84"/>
      <c r="F256" s="93"/>
      <c r="G256" s="52"/>
      <c r="H256" s="106"/>
      <c r="I256" s="106"/>
      <c r="J256" s="106"/>
      <c r="K256" s="103"/>
      <c r="L256" s="107"/>
      <c r="M256" s="12" t="b">
        <f t="shared" si="4"/>
        <v>0</v>
      </c>
    </row>
    <row r="257" spans="2:13" ht="22.5">
      <c r="B257" s="26">
        <v>245</v>
      </c>
      <c r="C257" s="54"/>
      <c r="D257" s="46"/>
      <c r="E257" s="84"/>
      <c r="F257" s="93"/>
      <c r="G257" s="52"/>
      <c r="H257" s="106"/>
      <c r="I257" s="106"/>
      <c r="J257" s="106"/>
      <c r="K257" s="103"/>
      <c r="L257" s="107"/>
      <c r="M257" s="12" t="b">
        <f t="shared" si="4"/>
        <v>0</v>
      </c>
    </row>
    <row r="258" spans="2:13" ht="22.5">
      <c r="B258" s="26">
        <v>246</v>
      </c>
      <c r="C258" s="54"/>
      <c r="D258" s="46"/>
      <c r="E258" s="84"/>
      <c r="F258" s="93"/>
      <c r="G258" s="52"/>
      <c r="H258" s="106"/>
      <c r="I258" s="106"/>
      <c r="J258" s="106"/>
      <c r="K258" s="103"/>
      <c r="L258" s="107"/>
      <c r="M258" s="12" t="b">
        <f t="shared" si="4"/>
        <v>0</v>
      </c>
    </row>
    <row r="259" spans="2:13" ht="22.5">
      <c r="B259" s="26">
        <v>247</v>
      </c>
      <c r="C259" s="54"/>
      <c r="D259" s="46"/>
      <c r="E259" s="84"/>
      <c r="F259" s="93"/>
      <c r="G259" s="52"/>
      <c r="H259" s="106"/>
      <c r="I259" s="106"/>
      <c r="J259" s="106"/>
      <c r="K259" s="103"/>
      <c r="L259" s="107"/>
      <c r="M259" s="12" t="b">
        <f t="shared" si="4"/>
        <v>0</v>
      </c>
    </row>
    <row r="260" spans="2:13" ht="22.5">
      <c r="B260" s="26">
        <v>248</v>
      </c>
      <c r="C260" s="54"/>
      <c r="D260" s="46"/>
      <c r="E260" s="84"/>
      <c r="F260" s="93"/>
      <c r="G260" s="52"/>
      <c r="H260" s="106"/>
      <c r="I260" s="106"/>
      <c r="J260" s="106"/>
      <c r="K260" s="103"/>
      <c r="L260" s="107"/>
      <c r="M260" s="12" t="b">
        <f t="shared" si="4"/>
        <v>0</v>
      </c>
    </row>
    <row r="261" spans="2:13" ht="22.5">
      <c r="B261" s="26">
        <v>249</v>
      </c>
      <c r="C261" s="54"/>
      <c r="D261" s="46"/>
      <c r="E261" s="84"/>
      <c r="F261" s="93"/>
      <c r="G261" s="52"/>
      <c r="H261" s="106"/>
      <c r="I261" s="106"/>
      <c r="J261" s="106"/>
      <c r="K261" s="103"/>
      <c r="L261" s="107"/>
      <c r="M261" s="12" t="b">
        <f t="shared" si="4"/>
        <v>0</v>
      </c>
    </row>
    <row r="262" spans="2:13" ht="22.5">
      <c r="B262" s="26">
        <v>250</v>
      </c>
      <c r="C262" s="54"/>
      <c r="D262" s="46"/>
      <c r="E262" s="84"/>
      <c r="F262" s="93"/>
      <c r="G262" s="52"/>
      <c r="H262" s="106"/>
      <c r="I262" s="106"/>
      <c r="J262" s="106"/>
      <c r="K262" s="103"/>
      <c r="L262" s="107"/>
      <c r="M262" s="12" t="b">
        <f t="shared" si="4"/>
        <v>0</v>
      </c>
    </row>
    <row r="263" spans="2:13" ht="22.5">
      <c r="B263" s="26">
        <v>251</v>
      </c>
      <c r="C263" s="54"/>
      <c r="D263" s="46"/>
      <c r="E263" s="84"/>
      <c r="F263" s="93"/>
      <c r="G263" s="52"/>
      <c r="H263" s="106"/>
      <c r="I263" s="106"/>
      <c r="J263" s="106"/>
      <c r="K263" s="103"/>
      <c r="L263" s="107"/>
      <c r="M263" s="12" t="b">
        <f t="shared" si="4"/>
        <v>0</v>
      </c>
    </row>
    <row r="264" spans="2:13" ht="22.5">
      <c r="B264" s="26">
        <v>252</v>
      </c>
      <c r="C264" s="54"/>
      <c r="D264" s="46"/>
      <c r="E264" s="84"/>
      <c r="F264" s="93"/>
      <c r="G264" s="52"/>
      <c r="H264" s="106"/>
      <c r="I264" s="106"/>
      <c r="J264" s="106"/>
      <c r="K264" s="103"/>
      <c r="L264" s="107"/>
      <c r="M264" s="12" t="b">
        <f t="shared" si="4"/>
        <v>0</v>
      </c>
    </row>
    <row r="265" spans="2:13" ht="22.5">
      <c r="B265" s="26">
        <v>253</v>
      </c>
      <c r="C265" s="54"/>
      <c r="D265" s="46"/>
      <c r="E265" s="84"/>
      <c r="F265" s="93"/>
      <c r="G265" s="52"/>
      <c r="H265" s="106"/>
      <c r="I265" s="106"/>
      <c r="J265" s="106"/>
      <c r="K265" s="103"/>
      <c r="L265" s="107"/>
      <c r="M265" s="12" t="b">
        <f t="shared" si="4"/>
        <v>0</v>
      </c>
    </row>
    <row r="266" spans="2:13" ht="22.5">
      <c r="B266" s="26">
        <v>254</v>
      </c>
      <c r="C266" s="54"/>
      <c r="D266" s="46"/>
      <c r="E266" s="84"/>
      <c r="F266" s="93"/>
      <c r="G266" s="52"/>
      <c r="H266" s="106"/>
      <c r="I266" s="106"/>
      <c r="J266" s="106"/>
      <c r="K266" s="103"/>
      <c r="L266" s="107"/>
      <c r="M266" s="12" t="b">
        <f t="shared" si="4"/>
        <v>0</v>
      </c>
    </row>
    <row r="267" spans="2:13" ht="22.5">
      <c r="B267" s="26">
        <v>255</v>
      </c>
      <c r="C267" s="54"/>
      <c r="D267" s="46"/>
      <c r="E267" s="84"/>
      <c r="F267" s="93"/>
      <c r="G267" s="52"/>
      <c r="H267" s="106"/>
      <c r="I267" s="106"/>
      <c r="J267" s="106"/>
      <c r="K267" s="103"/>
      <c r="L267" s="107"/>
      <c r="M267" s="12" t="b">
        <f t="shared" si="4"/>
        <v>0</v>
      </c>
    </row>
    <row r="268" spans="2:13" ht="22.5">
      <c r="B268" s="26">
        <v>256</v>
      </c>
      <c r="C268" s="54"/>
      <c r="D268" s="46"/>
      <c r="E268" s="84"/>
      <c r="F268" s="93"/>
      <c r="G268" s="52"/>
      <c r="H268" s="106"/>
      <c r="I268" s="106"/>
      <c r="J268" s="106"/>
      <c r="K268" s="103"/>
      <c r="L268" s="107"/>
      <c r="M268" s="12" t="b">
        <f t="shared" si="4"/>
        <v>0</v>
      </c>
    </row>
    <row r="269" spans="2:13" ht="22.5">
      <c r="B269" s="26">
        <v>257</v>
      </c>
      <c r="C269" s="54"/>
      <c r="D269" s="46"/>
      <c r="E269" s="84"/>
      <c r="F269" s="93"/>
      <c r="G269" s="52"/>
      <c r="H269" s="106"/>
      <c r="I269" s="106"/>
      <c r="J269" s="106"/>
      <c r="K269" s="103"/>
      <c r="L269" s="107"/>
      <c r="M269" s="12" t="b">
        <f t="shared" ref="M269:M332" si="5">IF(COUNTA(E269:G269)=0,FALSE,TRUE)</f>
        <v>0</v>
      </c>
    </row>
    <row r="270" spans="2:13" ht="22.5">
      <c r="B270" s="26">
        <v>258</v>
      </c>
      <c r="C270" s="54"/>
      <c r="D270" s="46"/>
      <c r="E270" s="84"/>
      <c r="F270" s="93"/>
      <c r="G270" s="52"/>
      <c r="H270" s="106"/>
      <c r="I270" s="106"/>
      <c r="J270" s="106"/>
      <c r="K270" s="103"/>
      <c r="L270" s="107"/>
      <c r="M270" s="12" t="b">
        <f t="shared" si="5"/>
        <v>0</v>
      </c>
    </row>
    <row r="271" spans="2:13" ht="22.5">
      <c r="B271" s="26">
        <v>259</v>
      </c>
      <c r="C271" s="54"/>
      <c r="D271" s="46"/>
      <c r="E271" s="84"/>
      <c r="F271" s="93"/>
      <c r="G271" s="52"/>
      <c r="H271" s="106"/>
      <c r="I271" s="106"/>
      <c r="J271" s="106"/>
      <c r="K271" s="103"/>
      <c r="L271" s="107"/>
      <c r="M271" s="12" t="b">
        <f t="shared" si="5"/>
        <v>0</v>
      </c>
    </row>
    <row r="272" spans="2:13" ht="22.5">
      <c r="B272" s="26">
        <v>260</v>
      </c>
      <c r="C272" s="54"/>
      <c r="D272" s="46"/>
      <c r="E272" s="84"/>
      <c r="F272" s="93"/>
      <c r="G272" s="52"/>
      <c r="H272" s="106"/>
      <c r="I272" s="106"/>
      <c r="J272" s="106"/>
      <c r="K272" s="103"/>
      <c r="L272" s="107"/>
      <c r="M272" s="12" t="b">
        <f t="shared" si="5"/>
        <v>0</v>
      </c>
    </row>
    <row r="273" spans="2:13" ht="22.5">
      <c r="B273" s="26">
        <v>261</v>
      </c>
      <c r="C273" s="54"/>
      <c r="D273" s="46"/>
      <c r="E273" s="84"/>
      <c r="F273" s="93"/>
      <c r="G273" s="52"/>
      <c r="H273" s="106"/>
      <c r="I273" s="106"/>
      <c r="J273" s="106"/>
      <c r="K273" s="103"/>
      <c r="L273" s="107"/>
      <c r="M273" s="12" t="b">
        <f t="shared" si="5"/>
        <v>0</v>
      </c>
    </row>
    <row r="274" spans="2:13" ht="22.5">
      <c r="B274" s="26">
        <v>262</v>
      </c>
      <c r="C274" s="54"/>
      <c r="D274" s="46"/>
      <c r="E274" s="84"/>
      <c r="F274" s="93"/>
      <c r="G274" s="52"/>
      <c r="H274" s="106"/>
      <c r="I274" s="106"/>
      <c r="J274" s="106"/>
      <c r="K274" s="103"/>
      <c r="L274" s="107"/>
      <c r="M274" s="12" t="b">
        <f t="shared" si="5"/>
        <v>0</v>
      </c>
    </row>
    <row r="275" spans="2:13" ht="22.5">
      <c r="B275" s="26">
        <v>263</v>
      </c>
      <c r="C275" s="54"/>
      <c r="D275" s="46"/>
      <c r="E275" s="84"/>
      <c r="F275" s="93"/>
      <c r="G275" s="52"/>
      <c r="H275" s="106"/>
      <c r="I275" s="106"/>
      <c r="J275" s="106"/>
      <c r="K275" s="103"/>
      <c r="L275" s="107"/>
      <c r="M275" s="12" t="b">
        <f t="shared" si="5"/>
        <v>0</v>
      </c>
    </row>
    <row r="276" spans="2:13" ht="22.5">
      <c r="B276" s="26">
        <v>264</v>
      </c>
      <c r="C276" s="54"/>
      <c r="D276" s="46"/>
      <c r="E276" s="84"/>
      <c r="F276" s="93"/>
      <c r="G276" s="52"/>
      <c r="H276" s="106"/>
      <c r="I276" s="106"/>
      <c r="J276" s="106"/>
      <c r="K276" s="103"/>
      <c r="L276" s="107"/>
      <c r="M276" s="12" t="b">
        <f t="shared" si="5"/>
        <v>0</v>
      </c>
    </row>
    <row r="277" spans="2:13" ht="22.5">
      <c r="B277" s="26">
        <v>265</v>
      </c>
      <c r="C277" s="54"/>
      <c r="D277" s="46"/>
      <c r="E277" s="84"/>
      <c r="F277" s="93"/>
      <c r="G277" s="52"/>
      <c r="H277" s="106"/>
      <c r="I277" s="106"/>
      <c r="J277" s="106"/>
      <c r="K277" s="103"/>
      <c r="L277" s="107"/>
      <c r="M277" s="12" t="b">
        <f t="shared" si="5"/>
        <v>0</v>
      </c>
    </row>
    <row r="278" spans="2:13" ht="22.5">
      <c r="B278" s="26">
        <v>266</v>
      </c>
      <c r="C278" s="54"/>
      <c r="D278" s="46"/>
      <c r="E278" s="84"/>
      <c r="F278" s="93"/>
      <c r="G278" s="52"/>
      <c r="H278" s="106"/>
      <c r="I278" s="106"/>
      <c r="J278" s="106"/>
      <c r="K278" s="103"/>
      <c r="L278" s="107"/>
      <c r="M278" s="12" t="b">
        <f t="shared" si="5"/>
        <v>0</v>
      </c>
    </row>
    <row r="279" spans="2:13" ht="22.5">
      <c r="B279" s="26">
        <v>267</v>
      </c>
      <c r="C279" s="54"/>
      <c r="D279" s="46"/>
      <c r="E279" s="84"/>
      <c r="F279" s="93"/>
      <c r="G279" s="52"/>
      <c r="H279" s="106"/>
      <c r="I279" s="106"/>
      <c r="J279" s="106"/>
      <c r="K279" s="103"/>
      <c r="L279" s="107"/>
      <c r="M279" s="12" t="b">
        <f t="shared" si="5"/>
        <v>0</v>
      </c>
    </row>
    <row r="280" spans="2:13" ht="22.5">
      <c r="B280" s="26">
        <v>268</v>
      </c>
      <c r="C280" s="54"/>
      <c r="D280" s="46"/>
      <c r="E280" s="84"/>
      <c r="F280" s="93"/>
      <c r="G280" s="52"/>
      <c r="H280" s="106"/>
      <c r="I280" s="106"/>
      <c r="J280" s="106"/>
      <c r="K280" s="103"/>
      <c r="L280" s="107"/>
      <c r="M280" s="12" t="b">
        <f t="shared" si="5"/>
        <v>0</v>
      </c>
    </row>
    <row r="281" spans="2:13" ht="22.5">
      <c r="B281" s="26">
        <v>269</v>
      </c>
      <c r="C281" s="54"/>
      <c r="D281" s="46"/>
      <c r="E281" s="84"/>
      <c r="F281" s="93"/>
      <c r="G281" s="52"/>
      <c r="H281" s="106"/>
      <c r="I281" s="106"/>
      <c r="J281" s="106"/>
      <c r="K281" s="103"/>
      <c r="L281" s="107"/>
      <c r="M281" s="12" t="b">
        <f t="shared" si="5"/>
        <v>0</v>
      </c>
    </row>
    <row r="282" spans="2:13" ht="22.5">
      <c r="B282" s="26">
        <v>270</v>
      </c>
      <c r="C282" s="54"/>
      <c r="D282" s="46"/>
      <c r="E282" s="84"/>
      <c r="F282" s="93"/>
      <c r="G282" s="52"/>
      <c r="H282" s="106"/>
      <c r="I282" s="106"/>
      <c r="J282" s="106"/>
      <c r="K282" s="103"/>
      <c r="L282" s="107"/>
      <c r="M282" s="12" t="b">
        <f t="shared" si="5"/>
        <v>0</v>
      </c>
    </row>
    <row r="283" spans="2:13" ht="22.5">
      <c r="B283" s="26">
        <v>271</v>
      </c>
      <c r="C283" s="54"/>
      <c r="D283" s="46"/>
      <c r="E283" s="84"/>
      <c r="F283" s="93"/>
      <c r="G283" s="52"/>
      <c r="H283" s="106"/>
      <c r="I283" s="106"/>
      <c r="J283" s="106"/>
      <c r="K283" s="103"/>
      <c r="L283" s="107"/>
      <c r="M283" s="12" t="b">
        <f t="shared" si="5"/>
        <v>0</v>
      </c>
    </row>
    <row r="284" spans="2:13" ht="22.5">
      <c r="B284" s="26">
        <v>272</v>
      </c>
      <c r="C284" s="54"/>
      <c r="D284" s="46"/>
      <c r="E284" s="84"/>
      <c r="F284" s="93"/>
      <c r="G284" s="52"/>
      <c r="H284" s="106"/>
      <c r="I284" s="106"/>
      <c r="J284" s="106"/>
      <c r="K284" s="103"/>
      <c r="L284" s="107"/>
      <c r="M284" s="12" t="b">
        <f t="shared" si="5"/>
        <v>0</v>
      </c>
    </row>
    <row r="285" spans="2:13" ht="22.5">
      <c r="B285" s="26">
        <v>273</v>
      </c>
      <c r="C285" s="54"/>
      <c r="D285" s="46"/>
      <c r="E285" s="84"/>
      <c r="F285" s="93"/>
      <c r="G285" s="52"/>
      <c r="H285" s="106"/>
      <c r="I285" s="106"/>
      <c r="J285" s="106"/>
      <c r="K285" s="103"/>
      <c r="L285" s="107"/>
      <c r="M285" s="12" t="b">
        <f t="shared" si="5"/>
        <v>0</v>
      </c>
    </row>
    <row r="286" spans="2:13" ht="22.5">
      <c r="B286" s="26">
        <v>274</v>
      </c>
      <c r="C286" s="54"/>
      <c r="D286" s="46"/>
      <c r="E286" s="84"/>
      <c r="F286" s="93"/>
      <c r="G286" s="52"/>
      <c r="H286" s="106"/>
      <c r="I286" s="106"/>
      <c r="J286" s="106"/>
      <c r="K286" s="103"/>
      <c r="L286" s="107"/>
      <c r="M286" s="12" t="b">
        <f t="shared" si="5"/>
        <v>0</v>
      </c>
    </row>
    <row r="287" spans="2:13" ht="22.5">
      <c r="B287" s="26">
        <v>275</v>
      </c>
      <c r="C287" s="54"/>
      <c r="D287" s="46"/>
      <c r="E287" s="84"/>
      <c r="F287" s="93"/>
      <c r="G287" s="52"/>
      <c r="H287" s="106"/>
      <c r="I287" s="106"/>
      <c r="J287" s="106"/>
      <c r="K287" s="103"/>
      <c r="L287" s="107"/>
      <c r="M287" s="12" t="b">
        <f t="shared" si="5"/>
        <v>0</v>
      </c>
    </row>
    <row r="288" spans="2:13" ht="22.5">
      <c r="B288" s="26">
        <v>276</v>
      </c>
      <c r="C288" s="54"/>
      <c r="D288" s="46"/>
      <c r="E288" s="84"/>
      <c r="F288" s="93"/>
      <c r="G288" s="52"/>
      <c r="H288" s="106"/>
      <c r="I288" s="106"/>
      <c r="J288" s="106"/>
      <c r="K288" s="103"/>
      <c r="L288" s="107"/>
      <c r="M288" s="12" t="b">
        <f t="shared" si="5"/>
        <v>0</v>
      </c>
    </row>
    <row r="289" spans="2:13" ht="22.5">
      <c r="B289" s="26">
        <v>277</v>
      </c>
      <c r="C289" s="54"/>
      <c r="D289" s="46"/>
      <c r="E289" s="84"/>
      <c r="F289" s="93"/>
      <c r="G289" s="52"/>
      <c r="H289" s="106"/>
      <c r="I289" s="106"/>
      <c r="J289" s="106"/>
      <c r="K289" s="103"/>
      <c r="L289" s="107"/>
      <c r="M289" s="12" t="b">
        <f t="shared" si="5"/>
        <v>0</v>
      </c>
    </row>
    <row r="290" spans="2:13" ht="22.5">
      <c r="B290" s="26">
        <v>278</v>
      </c>
      <c r="C290" s="54"/>
      <c r="D290" s="46"/>
      <c r="E290" s="84"/>
      <c r="F290" s="93"/>
      <c r="G290" s="52"/>
      <c r="H290" s="106"/>
      <c r="I290" s="106"/>
      <c r="J290" s="106"/>
      <c r="K290" s="103"/>
      <c r="L290" s="107"/>
      <c r="M290" s="12" t="b">
        <f t="shared" si="5"/>
        <v>0</v>
      </c>
    </row>
    <row r="291" spans="2:13" ht="22.5">
      <c r="B291" s="26">
        <v>279</v>
      </c>
      <c r="C291" s="54"/>
      <c r="D291" s="46"/>
      <c r="E291" s="84"/>
      <c r="F291" s="93"/>
      <c r="G291" s="52"/>
      <c r="H291" s="106"/>
      <c r="I291" s="106"/>
      <c r="J291" s="106"/>
      <c r="K291" s="103"/>
      <c r="L291" s="107"/>
      <c r="M291" s="12" t="b">
        <f t="shared" si="5"/>
        <v>0</v>
      </c>
    </row>
    <row r="292" spans="2:13" ht="22.5">
      <c r="B292" s="26">
        <v>280</v>
      </c>
      <c r="C292" s="54"/>
      <c r="D292" s="46"/>
      <c r="E292" s="84"/>
      <c r="F292" s="93"/>
      <c r="G292" s="52"/>
      <c r="H292" s="106"/>
      <c r="I292" s="106"/>
      <c r="J292" s="106"/>
      <c r="K292" s="103"/>
      <c r="L292" s="107"/>
      <c r="M292" s="12" t="b">
        <f t="shared" si="5"/>
        <v>0</v>
      </c>
    </row>
    <row r="293" spans="2:13" ht="22.5">
      <c r="B293" s="26">
        <v>281</v>
      </c>
      <c r="C293" s="54"/>
      <c r="D293" s="46"/>
      <c r="E293" s="84"/>
      <c r="F293" s="93"/>
      <c r="G293" s="52"/>
      <c r="H293" s="106"/>
      <c r="I293" s="106"/>
      <c r="J293" s="106"/>
      <c r="K293" s="103"/>
      <c r="L293" s="107"/>
      <c r="M293" s="12" t="b">
        <f t="shared" si="5"/>
        <v>0</v>
      </c>
    </row>
    <row r="294" spans="2:13" ht="22.5">
      <c r="B294" s="26">
        <v>282</v>
      </c>
      <c r="C294" s="54"/>
      <c r="D294" s="46"/>
      <c r="E294" s="84"/>
      <c r="F294" s="93"/>
      <c r="G294" s="52"/>
      <c r="H294" s="106"/>
      <c r="I294" s="106"/>
      <c r="J294" s="106"/>
      <c r="K294" s="103"/>
      <c r="L294" s="107"/>
      <c r="M294" s="12" t="b">
        <f t="shared" si="5"/>
        <v>0</v>
      </c>
    </row>
    <row r="295" spans="2:13" ht="22.5">
      <c r="B295" s="26">
        <v>283</v>
      </c>
      <c r="C295" s="54"/>
      <c r="D295" s="46"/>
      <c r="E295" s="84"/>
      <c r="F295" s="93"/>
      <c r="G295" s="52"/>
      <c r="H295" s="106"/>
      <c r="I295" s="106"/>
      <c r="J295" s="106"/>
      <c r="K295" s="103"/>
      <c r="L295" s="107"/>
      <c r="M295" s="12" t="b">
        <f t="shared" si="5"/>
        <v>0</v>
      </c>
    </row>
    <row r="296" spans="2:13" ht="22.5">
      <c r="B296" s="26">
        <v>284</v>
      </c>
      <c r="C296" s="54"/>
      <c r="D296" s="46"/>
      <c r="E296" s="84"/>
      <c r="F296" s="93"/>
      <c r="G296" s="52"/>
      <c r="H296" s="106"/>
      <c r="I296" s="106"/>
      <c r="J296" s="106"/>
      <c r="K296" s="103"/>
      <c r="L296" s="107"/>
      <c r="M296" s="12" t="b">
        <f t="shared" si="5"/>
        <v>0</v>
      </c>
    </row>
    <row r="297" spans="2:13" ht="22.5">
      <c r="B297" s="26">
        <v>285</v>
      </c>
      <c r="C297" s="54"/>
      <c r="D297" s="46"/>
      <c r="E297" s="84"/>
      <c r="F297" s="93"/>
      <c r="G297" s="52"/>
      <c r="H297" s="106"/>
      <c r="I297" s="106"/>
      <c r="J297" s="106"/>
      <c r="K297" s="103"/>
      <c r="L297" s="107"/>
      <c r="M297" s="12" t="b">
        <f t="shared" si="5"/>
        <v>0</v>
      </c>
    </row>
    <row r="298" spans="2:13" ht="22.5">
      <c r="B298" s="26">
        <v>286</v>
      </c>
      <c r="C298" s="54"/>
      <c r="D298" s="46"/>
      <c r="E298" s="84"/>
      <c r="F298" s="93"/>
      <c r="G298" s="52"/>
      <c r="H298" s="106"/>
      <c r="I298" s="106"/>
      <c r="J298" s="106"/>
      <c r="K298" s="103"/>
      <c r="L298" s="107"/>
      <c r="M298" s="12" t="b">
        <f t="shared" si="5"/>
        <v>0</v>
      </c>
    </row>
    <row r="299" spans="2:13" ht="22.5">
      <c r="B299" s="26">
        <v>287</v>
      </c>
      <c r="C299" s="54"/>
      <c r="D299" s="46"/>
      <c r="E299" s="84"/>
      <c r="F299" s="93"/>
      <c r="G299" s="52"/>
      <c r="H299" s="106"/>
      <c r="I299" s="106"/>
      <c r="J299" s="106"/>
      <c r="K299" s="103"/>
      <c r="L299" s="107"/>
      <c r="M299" s="12" t="b">
        <f t="shared" si="5"/>
        <v>0</v>
      </c>
    </row>
    <row r="300" spans="2:13" ht="22.5">
      <c r="B300" s="26">
        <v>288</v>
      </c>
      <c r="C300" s="54"/>
      <c r="D300" s="46"/>
      <c r="E300" s="84"/>
      <c r="F300" s="93"/>
      <c r="G300" s="52"/>
      <c r="H300" s="106"/>
      <c r="I300" s="106"/>
      <c r="J300" s="106"/>
      <c r="K300" s="103"/>
      <c r="L300" s="107"/>
      <c r="M300" s="12" t="b">
        <f t="shared" si="5"/>
        <v>0</v>
      </c>
    </row>
    <row r="301" spans="2:13" ht="22.5">
      <c r="B301" s="26">
        <v>289</v>
      </c>
      <c r="C301" s="54"/>
      <c r="D301" s="46"/>
      <c r="E301" s="84"/>
      <c r="F301" s="93"/>
      <c r="G301" s="52"/>
      <c r="H301" s="106"/>
      <c r="I301" s="106"/>
      <c r="J301" s="106"/>
      <c r="K301" s="103"/>
      <c r="L301" s="107"/>
      <c r="M301" s="12" t="b">
        <f t="shared" si="5"/>
        <v>0</v>
      </c>
    </row>
    <row r="302" spans="2:13" ht="22.5">
      <c r="B302" s="26">
        <v>290</v>
      </c>
      <c r="C302" s="54"/>
      <c r="D302" s="46"/>
      <c r="E302" s="84"/>
      <c r="F302" s="93"/>
      <c r="G302" s="52"/>
      <c r="H302" s="106"/>
      <c r="I302" s="106"/>
      <c r="J302" s="106"/>
      <c r="K302" s="103"/>
      <c r="L302" s="107"/>
      <c r="M302" s="12" t="b">
        <f t="shared" si="5"/>
        <v>0</v>
      </c>
    </row>
    <row r="303" spans="2:13" ht="22.5">
      <c r="B303" s="26">
        <v>291</v>
      </c>
      <c r="C303" s="54"/>
      <c r="D303" s="46"/>
      <c r="E303" s="84"/>
      <c r="F303" s="93"/>
      <c r="G303" s="52"/>
      <c r="H303" s="106"/>
      <c r="I303" s="106"/>
      <c r="J303" s="106"/>
      <c r="K303" s="103"/>
      <c r="L303" s="107"/>
      <c r="M303" s="12" t="b">
        <f t="shared" si="5"/>
        <v>0</v>
      </c>
    </row>
    <row r="304" spans="2:13" ht="22.5">
      <c r="B304" s="26">
        <v>292</v>
      </c>
      <c r="C304" s="54"/>
      <c r="D304" s="46"/>
      <c r="E304" s="84"/>
      <c r="F304" s="93"/>
      <c r="G304" s="52"/>
      <c r="H304" s="106"/>
      <c r="I304" s="106"/>
      <c r="J304" s="106"/>
      <c r="K304" s="103"/>
      <c r="L304" s="107"/>
      <c r="M304" s="12" t="b">
        <f t="shared" si="5"/>
        <v>0</v>
      </c>
    </row>
    <row r="305" spans="2:13" ht="22.5">
      <c r="B305" s="26">
        <v>293</v>
      </c>
      <c r="C305" s="54"/>
      <c r="D305" s="46"/>
      <c r="E305" s="84"/>
      <c r="F305" s="93"/>
      <c r="G305" s="52"/>
      <c r="H305" s="106"/>
      <c r="I305" s="106"/>
      <c r="J305" s="106"/>
      <c r="K305" s="103"/>
      <c r="L305" s="107"/>
      <c r="M305" s="12" t="b">
        <f t="shared" si="5"/>
        <v>0</v>
      </c>
    </row>
    <row r="306" spans="2:13" ht="22.5">
      <c r="B306" s="26">
        <v>294</v>
      </c>
      <c r="C306" s="54"/>
      <c r="D306" s="46"/>
      <c r="E306" s="84"/>
      <c r="F306" s="93"/>
      <c r="G306" s="52"/>
      <c r="H306" s="106"/>
      <c r="I306" s="106"/>
      <c r="J306" s="106"/>
      <c r="K306" s="103"/>
      <c r="L306" s="107"/>
      <c r="M306" s="12" t="b">
        <f t="shared" si="5"/>
        <v>0</v>
      </c>
    </row>
    <row r="307" spans="2:13" ht="22.5">
      <c r="B307" s="26">
        <v>295</v>
      </c>
      <c r="C307" s="54"/>
      <c r="D307" s="46"/>
      <c r="E307" s="84"/>
      <c r="F307" s="93"/>
      <c r="G307" s="52"/>
      <c r="H307" s="106"/>
      <c r="I307" s="106"/>
      <c r="J307" s="106"/>
      <c r="K307" s="103"/>
      <c r="L307" s="107"/>
      <c r="M307" s="12" t="b">
        <f t="shared" si="5"/>
        <v>0</v>
      </c>
    </row>
    <row r="308" spans="2:13" ht="22.5">
      <c r="B308" s="26">
        <v>296</v>
      </c>
      <c r="C308" s="54"/>
      <c r="D308" s="46"/>
      <c r="E308" s="84"/>
      <c r="F308" s="93"/>
      <c r="G308" s="52"/>
      <c r="H308" s="106"/>
      <c r="I308" s="106"/>
      <c r="J308" s="106"/>
      <c r="K308" s="103"/>
      <c r="L308" s="107"/>
      <c r="M308" s="12" t="b">
        <f t="shared" si="5"/>
        <v>0</v>
      </c>
    </row>
    <row r="309" spans="2:13" ht="22.5">
      <c r="B309" s="26">
        <v>297</v>
      </c>
      <c r="C309" s="54"/>
      <c r="D309" s="46"/>
      <c r="E309" s="84"/>
      <c r="F309" s="93"/>
      <c r="G309" s="52"/>
      <c r="H309" s="106"/>
      <c r="I309" s="106"/>
      <c r="J309" s="106"/>
      <c r="K309" s="103"/>
      <c r="L309" s="107"/>
      <c r="M309" s="12" t="b">
        <f t="shared" si="5"/>
        <v>0</v>
      </c>
    </row>
    <row r="310" spans="2:13" ht="22.5">
      <c r="B310" s="26">
        <v>298</v>
      </c>
      <c r="C310" s="54"/>
      <c r="D310" s="46"/>
      <c r="E310" s="84"/>
      <c r="F310" s="93"/>
      <c r="G310" s="52"/>
      <c r="H310" s="106"/>
      <c r="I310" s="106"/>
      <c r="J310" s="106"/>
      <c r="K310" s="103"/>
      <c r="L310" s="107"/>
      <c r="M310" s="12" t="b">
        <f t="shared" si="5"/>
        <v>0</v>
      </c>
    </row>
    <row r="311" spans="2:13" ht="22.5">
      <c r="B311" s="26">
        <v>299</v>
      </c>
      <c r="C311" s="54"/>
      <c r="D311" s="46"/>
      <c r="E311" s="84"/>
      <c r="F311" s="93"/>
      <c r="G311" s="52"/>
      <c r="H311" s="106"/>
      <c r="I311" s="106"/>
      <c r="J311" s="106"/>
      <c r="K311" s="103"/>
      <c r="L311" s="107"/>
      <c r="M311" s="12" t="b">
        <f t="shared" si="5"/>
        <v>0</v>
      </c>
    </row>
    <row r="312" spans="2:13" ht="22.5">
      <c r="B312" s="26">
        <v>300</v>
      </c>
      <c r="C312" s="54"/>
      <c r="D312" s="46"/>
      <c r="E312" s="84"/>
      <c r="F312" s="93"/>
      <c r="G312" s="52"/>
      <c r="H312" s="106"/>
      <c r="I312" s="106"/>
      <c r="J312" s="106"/>
      <c r="K312" s="103"/>
      <c r="L312" s="107"/>
      <c r="M312" s="12" t="b">
        <f t="shared" si="5"/>
        <v>0</v>
      </c>
    </row>
    <row r="313" spans="2:13" ht="22.5">
      <c r="B313" s="26">
        <v>301</v>
      </c>
      <c r="C313" s="54"/>
      <c r="D313" s="46"/>
      <c r="E313" s="84"/>
      <c r="F313" s="93"/>
      <c r="G313" s="52"/>
      <c r="H313" s="106"/>
      <c r="I313" s="106"/>
      <c r="J313" s="106"/>
      <c r="K313" s="103"/>
      <c r="L313" s="107"/>
      <c r="M313" s="12" t="b">
        <f t="shared" si="5"/>
        <v>0</v>
      </c>
    </row>
    <row r="314" spans="2:13" ht="22.5">
      <c r="B314" s="26">
        <v>302</v>
      </c>
      <c r="C314" s="54"/>
      <c r="D314" s="46"/>
      <c r="E314" s="84"/>
      <c r="F314" s="93"/>
      <c r="G314" s="52"/>
      <c r="H314" s="106"/>
      <c r="I314" s="106"/>
      <c r="J314" s="106"/>
      <c r="K314" s="103"/>
      <c r="L314" s="107"/>
      <c r="M314" s="12" t="b">
        <f t="shared" si="5"/>
        <v>0</v>
      </c>
    </row>
    <row r="315" spans="2:13" ht="22.5">
      <c r="B315" s="26">
        <v>303</v>
      </c>
      <c r="C315" s="54"/>
      <c r="D315" s="46"/>
      <c r="E315" s="84"/>
      <c r="F315" s="93"/>
      <c r="G315" s="52"/>
      <c r="H315" s="106"/>
      <c r="I315" s="106"/>
      <c r="J315" s="106"/>
      <c r="K315" s="103"/>
      <c r="L315" s="107"/>
      <c r="M315" s="12" t="b">
        <f t="shared" si="5"/>
        <v>0</v>
      </c>
    </row>
    <row r="316" spans="2:13" ht="22.5">
      <c r="B316" s="26">
        <v>304</v>
      </c>
      <c r="C316" s="54"/>
      <c r="D316" s="46"/>
      <c r="E316" s="84"/>
      <c r="F316" s="93"/>
      <c r="G316" s="52"/>
      <c r="H316" s="106"/>
      <c r="I316" s="106"/>
      <c r="J316" s="106"/>
      <c r="K316" s="103"/>
      <c r="L316" s="107"/>
      <c r="M316" s="12" t="b">
        <f t="shared" si="5"/>
        <v>0</v>
      </c>
    </row>
    <row r="317" spans="2:13" ht="22.5">
      <c r="B317" s="26">
        <v>305</v>
      </c>
      <c r="C317" s="54"/>
      <c r="D317" s="46"/>
      <c r="E317" s="84"/>
      <c r="F317" s="93"/>
      <c r="G317" s="52"/>
      <c r="H317" s="106"/>
      <c r="I317" s="106"/>
      <c r="J317" s="106"/>
      <c r="K317" s="103"/>
      <c r="L317" s="107"/>
      <c r="M317" s="12" t="b">
        <f t="shared" si="5"/>
        <v>0</v>
      </c>
    </row>
    <row r="318" spans="2:13" ht="22.5">
      <c r="B318" s="26">
        <v>306</v>
      </c>
      <c r="C318" s="54"/>
      <c r="D318" s="46"/>
      <c r="E318" s="84"/>
      <c r="F318" s="93"/>
      <c r="G318" s="52"/>
      <c r="H318" s="106"/>
      <c r="I318" s="106"/>
      <c r="J318" s="106"/>
      <c r="K318" s="103"/>
      <c r="L318" s="107"/>
      <c r="M318" s="12" t="b">
        <f t="shared" si="5"/>
        <v>0</v>
      </c>
    </row>
    <row r="319" spans="2:13" ht="22.5">
      <c r="B319" s="26">
        <v>307</v>
      </c>
      <c r="C319" s="54"/>
      <c r="D319" s="46"/>
      <c r="E319" s="84"/>
      <c r="F319" s="93"/>
      <c r="G319" s="52"/>
      <c r="H319" s="106"/>
      <c r="I319" s="106"/>
      <c r="J319" s="106"/>
      <c r="K319" s="103"/>
      <c r="L319" s="107"/>
      <c r="M319" s="12" t="b">
        <f t="shared" si="5"/>
        <v>0</v>
      </c>
    </row>
    <row r="320" spans="2:13" ht="22.5">
      <c r="B320" s="26">
        <v>308</v>
      </c>
      <c r="C320" s="54"/>
      <c r="D320" s="46"/>
      <c r="E320" s="84"/>
      <c r="F320" s="93"/>
      <c r="G320" s="52"/>
      <c r="H320" s="106"/>
      <c r="I320" s="106"/>
      <c r="J320" s="106"/>
      <c r="K320" s="103"/>
      <c r="L320" s="107"/>
      <c r="M320" s="12" t="b">
        <f t="shared" si="5"/>
        <v>0</v>
      </c>
    </row>
    <row r="321" spans="2:13" ht="22.5">
      <c r="B321" s="26">
        <v>309</v>
      </c>
      <c r="C321" s="54"/>
      <c r="D321" s="46"/>
      <c r="E321" s="84"/>
      <c r="F321" s="93"/>
      <c r="G321" s="52"/>
      <c r="H321" s="106"/>
      <c r="I321" s="106"/>
      <c r="J321" s="106"/>
      <c r="K321" s="103"/>
      <c r="L321" s="107"/>
      <c r="M321" s="12" t="b">
        <f t="shared" si="5"/>
        <v>0</v>
      </c>
    </row>
    <row r="322" spans="2:13" ht="22.5">
      <c r="B322" s="26">
        <v>310</v>
      </c>
      <c r="C322" s="54"/>
      <c r="D322" s="46"/>
      <c r="E322" s="84"/>
      <c r="F322" s="93"/>
      <c r="G322" s="52"/>
      <c r="H322" s="106"/>
      <c r="I322" s="106"/>
      <c r="J322" s="106"/>
      <c r="K322" s="103"/>
      <c r="L322" s="107"/>
      <c r="M322" s="12" t="b">
        <f t="shared" si="5"/>
        <v>0</v>
      </c>
    </row>
    <row r="323" spans="2:13" ht="22.5">
      <c r="B323" s="26">
        <v>311</v>
      </c>
      <c r="C323" s="54"/>
      <c r="D323" s="46"/>
      <c r="E323" s="84"/>
      <c r="F323" s="93"/>
      <c r="G323" s="52"/>
      <c r="H323" s="106"/>
      <c r="I323" s="106"/>
      <c r="J323" s="106"/>
      <c r="K323" s="103"/>
      <c r="L323" s="107"/>
      <c r="M323" s="12" t="b">
        <f t="shared" si="5"/>
        <v>0</v>
      </c>
    </row>
    <row r="324" spans="2:13" ht="22.5">
      <c r="B324" s="26">
        <v>312</v>
      </c>
      <c r="C324" s="54"/>
      <c r="D324" s="46"/>
      <c r="E324" s="84"/>
      <c r="F324" s="93"/>
      <c r="G324" s="52"/>
      <c r="H324" s="106"/>
      <c r="I324" s="106"/>
      <c r="J324" s="106"/>
      <c r="K324" s="103"/>
      <c r="L324" s="107"/>
      <c r="M324" s="12" t="b">
        <f t="shared" si="5"/>
        <v>0</v>
      </c>
    </row>
    <row r="325" spans="2:13" ht="22.5">
      <c r="B325" s="26">
        <v>313</v>
      </c>
      <c r="C325" s="54"/>
      <c r="D325" s="46"/>
      <c r="E325" s="84"/>
      <c r="F325" s="93"/>
      <c r="G325" s="52"/>
      <c r="H325" s="106"/>
      <c r="I325" s="106"/>
      <c r="J325" s="106"/>
      <c r="K325" s="103"/>
      <c r="L325" s="107"/>
      <c r="M325" s="12" t="b">
        <f t="shared" si="5"/>
        <v>0</v>
      </c>
    </row>
    <row r="326" spans="2:13" ht="22.5">
      <c r="B326" s="26">
        <v>314</v>
      </c>
      <c r="C326" s="54"/>
      <c r="D326" s="46"/>
      <c r="E326" s="84"/>
      <c r="F326" s="93"/>
      <c r="G326" s="52"/>
      <c r="H326" s="106"/>
      <c r="I326" s="106"/>
      <c r="J326" s="106"/>
      <c r="K326" s="103"/>
      <c r="L326" s="107"/>
      <c r="M326" s="12" t="b">
        <f t="shared" si="5"/>
        <v>0</v>
      </c>
    </row>
    <row r="327" spans="2:13" ht="22.5">
      <c r="B327" s="26">
        <v>315</v>
      </c>
      <c r="C327" s="54"/>
      <c r="D327" s="46"/>
      <c r="E327" s="84"/>
      <c r="F327" s="93"/>
      <c r="G327" s="52"/>
      <c r="H327" s="106"/>
      <c r="I327" s="106"/>
      <c r="J327" s="106"/>
      <c r="K327" s="103"/>
      <c r="L327" s="107"/>
      <c r="M327" s="12" t="b">
        <f t="shared" si="5"/>
        <v>0</v>
      </c>
    </row>
    <row r="328" spans="2:13" ht="22.5">
      <c r="B328" s="26">
        <v>316</v>
      </c>
      <c r="C328" s="54"/>
      <c r="D328" s="46"/>
      <c r="E328" s="84"/>
      <c r="F328" s="93"/>
      <c r="G328" s="52"/>
      <c r="H328" s="106"/>
      <c r="I328" s="106"/>
      <c r="J328" s="106"/>
      <c r="K328" s="103"/>
      <c r="L328" s="107"/>
      <c r="M328" s="12" t="b">
        <f t="shared" si="5"/>
        <v>0</v>
      </c>
    </row>
    <row r="329" spans="2:13" ht="22.5">
      <c r="B329" s="26">
        <v>317</v>
      </c>
      <c r="C329" s="54"/>
      <c r="D329" s="46"/>
      <c r="E329" s="84"/>
      <c r="F329" s="93"/>
      <c r="G329" s="52"/>
      <c r="H329" s="106"/>
      <c r="I329" s="106"/>
      <c r="J329" s="106"/>
      <c r="K329" s="103"/>
      <c r="L329" s="107"/>
      <c r="M329" s="12" t="b">
        <f t="shared" si="5"/>
        <v>0</v>
      </c>
    </row>
    <row r="330" spans="2:13" ht="22.5">
      <c r="B330" s="26">
        <v>318</v>
      </c>
      <c r="C330" s="54"/>
      <c r="D330" s="46"/>
      <c r="E330" s="84"/>
      <c r="F330" s="93"/>
      <c r="G330" s="52"/>
      <c r="H330" s="106"/>
      <c r="I330" s="106"/>
      <c r="J330" s="106"/>
      <c r="K330" s="103"/>
      <c r="L330" s="107"/>
      <c r="M330" s="12" t="b">
        <f t="shared" si="5"/>
        <v>0</v>
      </c>
    </row>
    <row r="331" spans="2:13" ht="22.5">
      <c r="B331" s="26">
        <v>319</v>
      </c>
      <c r="C331" s="54"/>
      <c r="D331" s="46"/>
      <c r="E331" s="84"/>
      <c r="F331" s="93"/>
      <c r="G331" s="52"/>
      <c r="H331" s="106"/>
      <c r="I331" s="106"/>
      <c r="J331" s="106"/>
      <c r="K331" s="103"/>
      <c r="L331" s="107"/>
      <c r="M331" s="12" t="b">
        <f t="shared" si="5"/>
        <v>0</v>
      </c>
    </row>
    <row r="332" spans="2:13" ht="22.5">
      <c r="B332" s="26">
        <v>320</v>
      </c>
      <c r="C332" s="54"/>
      <c r="D332" s="46"/>
      <c r="E332" s="84"/>
      <c r="F332" s="93"/>
      <c r="G332" s="52"/>
      <c r="H332" s="106"/>
      <c r="I332" s="106"/>
      <c r="J332" s="106"/>
      <c r="K332" s="103"/>
      <c r="L332" s="107"/>
      <c r="M332" s="12" t="b">
        <f t="shared" si="5"/>
        <v>0</v>
      </c>
    </row>
    <row r="333" spans="2:13" ht="22.5">
      <c r="B333" s="26">
        <v>321</v>
      </c>
      <c r="C333" s="54"/>
      <c r="D333" s="46"/>
      <c r="E333" s="84"/>
      <c r="F333" s="93"/>
      <c r="G333" s="52"/>
      <c r="H333" s="106"/>
      <c r="I333" s="106"/>
      <c r="J333" s="106"/>
      <c r="K333" s="103"/>
      <c r="L333" s="107"/>
      <c r="M333" s="12" t="b">
        <f t="shared" ref="M333:M396" si="6">IF(COUNTA(E333:G333)=0,FALSE,TRUE)</f>
        <v>0</v>
      </c>
    </row>
    <row r="334" spans="2:13" ht="22.5">
      <c r="B334" s="26">
        <v>322</v>
      </c>
      <c r="C334" s="54"/>
      <c r="D334" s="46"/>
      <c r="E334" s="84"/>
      <c r="F334" s="93"/>
      <c r="G334" s="52"/>
      <c r="H334" s="106"/>
      <c r="I334" s="106"/>
      <c r="J334" s="106"/>
      <c r="K334" s="103"/>
      <c r="L334" s="107"/>
      <c r="M334" s="12" t="b">
        <f t="shared" si="6"/>
        <v>0</v>
      </c>
    </row>
    <row r="335" spans="2:13" ht="22.5">
      <c r="B335" s="26">
        <v>323</v>
      </c>
      <c r="C335" s="54"/>
      <c r="D335" s="46"/>
      <c r="E335" s="84"/>
      <c r="F335" s="93"/>
      <c r="G335" s="52"/>
      <c r="H335" s="106"/>
      <c r="I335" s="106"/>
      <c r="J335" s="106"/>
      <c r="K335" s="103"/>
      <c r="L335" s="107"/>
      <c r="M335" s="12" t="b">
        <f t="shared" si="6"/>
        <v>0</v>
      </c>
    </row>
    <row r="336" spans="2:13" ht="22.5">
      <c r="B336" s="26">
        <v>324</v>
      </c>
      <c r="C336" s="54"/>
      <c r="D336" s="46"/>
      <c r="E336" s="84"/>
      <c r="F336" s="93"/>
      <c r="G336" s="52"/>
      <c r="H336" s="106"/>
      <c r="I336" s="106"/>
      <c r="J336" s="106"/>
      <c r="K336" s="103"/>
      <c r="L336" s="107"/>
      <c r="M336" s="12" t="b">
        <f t="shared" si="6"/>
        <v>0</v>
      </c>
    </row>
    <row r="337" spans="2:13" ht="22.5">
      <c r="B337" s="26">
        <v>325</v>
      </c>
      <c r="C337" s="54"/>
      <c r="D337" s="46"/>
      <c r="E337" s="84"/>
      <c r="F337" s="93"/>
      <c r="G337" s="52"/>
      <c r="H337" s="106"/>
      <c r="I337" s="106"/>
      <c r="J337" s="106"/>
      <c r="K337" s="103"/>
      <c r="L337" s="107"/>
      <c r="M337" s="12" t="b">
        <f t="shared" si="6"/>
        <v>0</v>
      </c>
    </row>
    <row r="338" spans="2:13" ht="22.5">
      <c r="B338" s="26">
        <v>326</v>
      </c>
      <c r="C338" s="54"/>
      <c r="D338" s="46"/>
      <c r="E338" s="84"/>
      <c r="F338" s="93"/>
      <c r="G338" s="52"/>
      <c r="H338" s="106"/>
      <c r="I338" s="106"/>
      <c r="J338" s="106"/>
      <c r="K338" s="103"/>
      <c r="L338" s="107"/>
      <c r="M338" s="12" t="b">
        <f t="shared" si="6"/>
        <v>0</v>
      </c>
    </row>
    <row r="339" spans="2:13" ht="22.5">
      <c r="B339" s="26">
        <v>327</v>
      </c>
      <c r="C339" s="54"/>
      <c r="D339" s="46"/>
      <c r="E339" s="84"/>
      <c r="F339" s="93"/>
      <c r="G339" s="52"/>
      <c r="H339" s="106"/>
      <c r="I339" s="106"/>
      <c r="J339" s="106"/>
      <c r="K339" s="103"/>
      <c r="L339" s="107"/>
      <c r="M339" s="12" t="b">
        <f t="shared" si="6"/>
        <v>0</v>
      </c>
    </row>
    <row r="340" spans="2:13" ht="22.5">
      <c r="B340" s="26">
        <v>328</v>
      </c>
      <c r="C340" s="54"/>
      <c r="D340" s="46"/>
      <c r="E340" s="84"/>
      <c r="F340" s="93"/>
      <c r="G340" s="52"/>
      <c r="H340" s="106"/>
      <c r="I340" s="106"/>
      <c r="J340" s="106"/>
      <c r="K340" s="103"/>
      <c r="L340" s="107"/>
      <c r="M340" s="12" t="b">
        <f t="shared" si="6"/>
        <v>0</v>
      </c>
    </row>
    <row r="341" spans="2:13" ht="22.5">
      <c r="B341" s="26">
        <v>329</v>
      </c>
      <c r="C341" s="54"/>
      <c r="D341" s="46"/>
      <c r="E341" s="84"/>
      <c r="F341" s="93"/>
      <c r="G341" s="52"/>
      <c r="H341" s="106"/>
      <c r="I341" s="106"/>
      <c r="J341" s="106"/>
      <c r="K341" s="103"/>
      <c r="L341" s="107"/>
      <c r="M341" s="12" t="b">
        <f t="shared" si="6"/>
        <v>0</v>
      </c>
    </row>
    <row r="342" spans="2:13" ht="22.5">
      <c r="B342" s="26">
        <v>330</v>
      </c>
      <c r="C342" s="54"/>
      <c r="D342" s="46"/>
      <c r="E342" s="84"/>
      <c r="F342" s="93"/>
      <c r="G342" s="52"/>
      <c r="H342" s="106"/>
      <c r="I342" s="106"/>
      <c r="J342" s="106"/>
      <c r="K342" s="103"/>
      <c r="L342" s="107"/>
      <c r="M342" s="12" t="b">
        <f t="shared" si="6"/>
        <v>0</v>
      </c>
    </row>
    <row r="343" spans="2:13" ht="22.5">
      <c r="B343" s="26">
        <v>331</v>
      </c>
      <c r="C343" s="54"/>
      <c r="D343" s="46"/>
      <c r="E343" s="84"/>
      <c r="F343" s="93"/>
      <c r="G343" s="52"/>
      <c r="H343" s="106"/>
      <c r="I343" s="106"/>
      <c r="J343" s="106"/>
      <c r="K343" s="103"/>
      <c r="L343" s="107"/>
      <c r="M343" s="12" t="b">
        <f t="shared" si="6"/>
        <v>0</v>
      </c>
    </row>
    <row r="344" spans="2:13" ht="22.5">
      <c r="B344" s="26">
        <v>332</v>
      </c>
      <c r="C344" s="54"/>
      <c r="D344" s="46"/>
      <c r="E344" s="84"/>
      <c r="F344" s="93"/>
      <c r="G344" s="52"/>
      <c r="H344" s="106"/>
      <c r="I344" s="106"/>
      <c r="J344" s="106"/>
      <c r="K344" s="103"/>
      <c r="L344" s="107"/>
      <c r="M344" s="12" t="b">
        <f t="shared" si="6"/>
        <v>0</v>
      </c>
    </row>
    <row r="345" spans="2:13" ht="22.5">
      <c r="B345" s="26">
        <v>333</v>
      </c>
      <c r="C345" s="54"/>
      <c r="D345" s="46"/>
      <c r="E345" s="84"/>
      <c r="F345" s="93"/>
      <c r="G345" s="52"/>
      <c r="H345" s="106"/>
      <c r="I345" s="106"/>
      <c r="J345" s="106"/>
      <c r="K345" s="103"/>
      <c r="L345" s="107"/>
      <c r="M345" s="12" t="b">
        <f t="shared" si="6"/>
        <v>0</v>
      </c>
    </row>
    <row r="346" spans="2:13" ht="22.5">
      <c r="B346" s="26">
        <v>334</v>
      </c>
      <c r="C346" s="54"/>
      <c r="D346" s="46"/>
      <c r="E346" s="84"/>
      <c r="F346" s="93"/>
      <c r="G346" s="52"/>
      <c r="H346" s="106"/>
      <c r="I346" s="106"/>
      <c r="J346" s="106"/>
      <c r="K346" s="103"/>
      <c r="L346" s="107"/>
      <c r="M346" s="12" t="b">
        <f t="shared" si="6"/>
        <v>0</v>
      </c>
    </row>
    <row r="347" spans="2:13" ht="22.5">
      <c r="B347" s="26">
        <v>335</v>
      </c>
      <c r="C347" s="54"/>
      <c r="D347" s="46"/>
      <c r="E347" s="84"/>
      <c r="F347" s="93"/>
      <c r="G347" s="52"/>
      <c r="H347" s="106"/>
      <c r="I347" s="106"/>
      <c r="J347" s="106"/>
      <c r="K347" s="103"/>
      <c r="L347" s="107"/>
      <c r="M347" s="12" t="b">
        <f t="shared" si="6"/>
        <v>0</v>
      </c>
    </row>
    <row r="348" spans="2:13" ht="22.5">
      <c r="B348" s="26">
        <v>336</v>
      </c>
      <c r="C348" s="54"/>
      <c r="D348" s="46"/>
      <c r="E348" s="84"/>
      <c r="F348" s="93"/>
      <c r="G348" s="52"/>
      <c r="H348" s="106"/>
      <c r="I348" s="106"/>
      <c r="J348" s="106"/>
      <c r="K348" s="103"/>
      <c r="L348" s="107"/>
      <c r="M348" s="12" t="b">
        <f t="shared" si="6"/>
        <v>0</v>
      </c>
    </row>
    <row r="349" spans="2:13" ht="22.5">
      <c r="B349" s="26">
        <v>337</v>
      </c>
      <c r="C349" s="54"/>
      <c r="D349" s="46"/>
      <c r="E349" s="84"/>
      <c r="F349" s="93"/>
      <c r="G349" s="52"/>
      <c r="H349" s="106"/>
      <c r="I349" s="106"/>
      <c r="J349" s="106"/>
      <c r="K349" s="103"/>
      <c r="L349" s="107"/>
      <c r="M349" s="12" t="b">
        <f t="shared" si="6"/>
        <v>0</v>
      </c>
    </row>
    <row r="350" spans="2:13" ht="22.5">
      <c r="B350" s="26">
        <v>338</v>
      </c>
      <c r="C350" s="54"/>
      <c r="D350" s="46"/>
      <c r="E350" s="84"/>
      <c r="F350" s="93"/>
      <c r="G350" s="52"/>
      <c r="H350" s="106"/>
      <c r="I350" s="106"/>
      <c r="J350" s="106"/>
      <c r="K350" s="103"/>
      <c r="L350" s="107"/>
      <c r="M350" s="12" t="b">
        <f t="shared" si="6"/>
        <v>0</v>
      </c>
    </row>
    <row r="351" spans="2:13" ht="22.5">
      <c r="B351" s="26">
        <v>339</v>
      </c>
      <c r="C351" s="54"/>
      <c r="D351" s="46"/>
      <c r="E351" s="84"/>
      <c r="F351" s="93"/>
      <c r="G351" s="52"/>
      <c r="H351" s="106"/>
      <c r="I351" s="106"/>
      <c r="J351" s="106"/>
      <c r="K351" s="103"/>
      <c r="L351" s="107"/>
      <c r="M351" s="12" t="b">
        <f t="shared" si="6"/>
        <v>0</v>
      </c>
    </row>
    <row r="352" spans="2:13" ht="22.5">
      <c r="B352" s="26">
        <v>340</v>
      </c>
      <c r="C352" s="54"/>
      <c r="D352" s="46"/>
      <c r="E352" s="84"/>
      <c r="F352" s="93"/>
      <c r="G352" s="52"/>
      <c r="H352" s="106"/>
      <c r="I352" s="106"/>
      <c r="J352" s="106"/>
      <c r="K352" s="103"/>
      <c r="L352" s="107"/>
      <c r="M352" s="12" t="b">
        <f t="shared" si="6"/>
        <v>0</v>
      </c>
    </row>
    <row r="353" spans="2:13" ht="22.5">
      <c r="B353" s="26">
        <v>341</v>
      </c>
      <c r="C353" s="54"/>
      <c r="D353" s="46"/>
      <c r="E353" s="84"/>
      <c r="F353" s="93"/>
      <c r="G353" s="52"/>
      <c r="H353" s="106"/>
      <c r="I353" s="106"/>
      <c r="J353" s="106"/>
      <c r="K353" s="103"/>
      <c r="L353" s="107"/>
      <c r="M353" s="12" t="b">
        <f t="shared" si="6"/>
        <v>0</v>
      </c>
    </row>
    <row r="354" spans="2:13" ht="22.5">
      <c r="B354" s="26">
        <v>342</v>
      </c>
      <c r="C354" s="54"/>
      <c r="D354" s="46"/>
      <c r="E354" s="84"/>
      <c r="F354" s="93"/>
      <c r="G354" s="52"/>
      <c r="H354" s="106"/>
      <c r="I354" s="106"/>
      <c r="J354" s="106"/>
      <c r="K354" s="103"/>
      <c r="L354" s="107"/>
      <c r="M354" s="12" t="b">
        <f t="shared" si="6"/>
        <v>0</v>
      </c>
    </row>
    <row r="355" spans="2:13" ht="22.5">
      <c r="B355" s="26">
        <v>343</v>
      </c>
      <c r="C355" s="54"/>
      <c r="D355" s="46"/>
      <c r="E355" s="84"/>
      <c r="F355" s="93"/>
      <c r="G355" s="52"/>
      <c r="H355" s="106"/>
      <c r="I355" s="106"/>
      <c r="J355" s="106"/>
      <c r="K355" s="103"/>
      <c r="L355" s="107"/>
      <c r="M355" s="12" t="b">
        <f t="shared" si="6"/>
        <v>0</v>
      </c>
    </row>
    <row r="356" spans="2:13" ht="22.5">
      <c r="B356" s="26">
        <v>344</v>
      </c>
      <c r="C356" s="54"/>
      <c r="D356" s="46"/>
      <c r="E356" s="84"/>
      <c r="F356" s="93"/>
      <c r="G356" s="52"/>
      <c r="H356" s="106"/>
      <c r="I356" s="106"/>
      <c r="J356" s="106"/>
      <c r="K356" s="103"/>
      <c r="L356" s="107"/>
      <c r="M356" s="12" t="b">
        <f t="shared" si="6"/>
        <v>0</v>
      </c>
    </row>
    <row r="357" spans="2:13" ht="22.5">
      <c r="B357" s="26">
        <v>345</v>
      </c>
      <c r="C357" s="54"/>
      <c r="D357" s="46"/>
      <c r="E357" s="84"/>
      <c r="F357" s="93"/>
      <c r="G357" s="52"/>
      <c r="H357" s="106"/>
      <c r="I357" s="106"/>
      <c r="J357" s="106"/>
      <c r="K357" s="103"/>
      <c r="L357" s="107"/>
      <c r="M357" s="12" t="b">
        <f t="shared" si="6"/>
        <v>0</v>
      </c>
    </row>
    <row r="358" spans="2:13" ht="22.5">
      <c r="B358" s="26">
        <v>346</v>
      </c>
      <c r="C358" s="54"/>
      <c r="D358" s="46"/>
      <c r="E358" s="84"/>
      <c r="F358" s="93"/>
      <c r="G358" s="52"/>
      <c r="H358" s="106"/>
      <c r="I358" s="106"/>
      <c r="J358" s="106"/>
      <c r="K358" s="103"/>
      <c r="L358" s="107"/>
      <c r="M358" s="12" t="b">
        <f t="shared" si="6"/>
        <v>0</v>
      </c>
    </row>
    <row r="359" spans="2:13" ht="22.5">
      <c r="B359" s="26">
        <v>347</v>
      </c>
      <c r="C359" s="54"/>
      <c r="D359" s="46"/>
      <c r="E359" s="84"/>
      <c r="F359" s="93"/>
      <c r="G359" s="52"/>
      <c r="H359" s="106"/>
      <c r="I359" s="106"/>
      <c r="J359" s="106"/>
      <c r="K359" s="103"/>
      <c r="L359" s="107"/>
      <c r="M359" s="12" t="b">
        <f t="shared" si="6"/>
        <v>0</v>
      </c>
    </row>
    <row r="360" spans="2:13" ht="22.5">
      <c r="B360" s="26">
        <v>348</v>
      </c>
      <c r="C360" s="54"/>
      <c r="D360" s="46"/>
      <c r="E360" s="84"/>
      <c r="F360" s="93"/>
      <c r="G360" s="52"/>
      <c r="H360" s="106"/>
      <c r="I360" s="106"/>
      <c r="J360" s="106"/>
      <c r="K360" s="103"/>
      <c r="L360" s="107"/>
      <c r="M360" s="12" t="b">
        <f t="shared" si="6"/>
        <v>0</v>
      </c>
    </row>
    <row r="361" spans="2:13" ht="22.5">
      <c r="B361" s="26">
        <v>349</v>
      </c>
      <c r="C361" s="54"/>
      <c r="D361" s="46"/>
      <c r="E361" s="84"/>
      <c r="F361" s="93"/>
      <c r="G361" s="52"/>
      <c r="H361" s="106"/>
      <c r="I361" s="106"/>
      <c r="J361" s="106"/>
      <c r="K361" s="103"/>
      <c r="L361" s="107"/>
      <c r="M361" s="12" t="b">
        <f t="shared" si="6"/>
        <v>0</v>
      </c>
    </row>
    <row r="362" spans="2:13" ht="22.5">
      <c r="B362" s="26">
        <v>350</v>
      </c>
      <c r="C362" s="54"/>
      <c r="D362" s="46"/>
      <c r="E362" s="84"/>
      <c r="F362" s="93"/>
      <c r="G362" s="52"/>
      <c r="H362" s="106"/>
      <c r="I362" s="106"/>
      <c r="J362" s="106"/>
      <c r="K362" s="103"/>
      <c r="L362" s="107"/>
      <c r="M362" s="12" t="b">
        <f t="shared" si="6"/>
        <v>0</v>
      </c>
    </row>
    <row r="363" spans="2:13" ht="22.5">
      <c r="B363" s="26">
        <v>351</v>
      </c>
      <c r="C363" s="54"/>
      <c r="D363" s="46"/>
      <c r="E363" s="84"/>
      <c r="F363" s="93"/>
      <c r="G363" s="52"/>
      <c r="H363" s="106"/>
      <c r="I363" s="106"/>
      <c r="J363" s="106"/>
      <c r="K363" s="103"/>
      <c r="L363" s="107"/>
      <c r="M363" s="12" t="b">
        <f t="shared" si="6"/>
        <v>0</v>
      </c>
    </row>
    <row r="364" spans="2:13" ht="22.5">
      <c r="B364" s="26">
        <v>352</v>
      </c>
      <c r="C364" s="54"/>
      <c r="D364" s="46"/>
      <c r="E364" s="84"/>
      <c r="F364" s="93"/>
      <c r="G364" s="52"/>
      <c r="H364" s="106"/>
      <c r="I364" s="106"/>
      <c r="J364" s="106"/>
      <c r="K364" s="103"/>
      <c r="L364" s="107"/>
      <c r="M364" s="12" t="b">
        <f t="shared" si="6"/>
        <v>0</v>
      </c>
    </row>
    <row r="365" spans="2:13" ht="22.5">
      <c r="B365" s="26">
        <v>353</v>
      </c>
      <c r="C365" s="54"/>
      <c r="D365" s="46"/>
      <c r="E365" s="84"/>
      <c r="F365" s="93"/>
      <c r="G365" s="52"/>
      <c r="H365" s="106"/>
      <c r="I365" s="106"/>
      <c r="J365" s="106"/>
      <c r="K365" s="103"/>
      <c r="L365" s="107"/>
      <c r="M365" s="12" t="b">
        <f t="shared" si="6"/>
        <v>0</v>
      </c>
    </row>
    <row r="366" spans="2:13" ht="22.5">
      <c r="B366" s="26">
        <v>354</v>
      </c>
      <c r="C366" s="54"/>
      <c r="D366" s="46"/>
      <c r="E366" s="84"/>
      <c r="F366" s="93"/>
      <c r="G366" s="52"/>
      <c r="H366" s="106"/>
      <c r="I366" s="106"/>
      <c r="J366" s="106"/>
      <c r="K366" s="103"/>
      <c r="L366" s="107"/>
      <c r="M366" s="12" t="b">
        <f t="shared" si="6"/>
        <v>0</v>
      </c>
    </row>
    <row r="367" spans="2:13" ht="22.5">
      <c r="B367" s="26">
        <v>355</v>
      </c>
      <c r="C367" s="54"/>
      <c r="D367" s="46"/>
      <c r="E367" s="84"/>
      <c r="F367" s="93"/>
      <c r="G367" s="52"/>
      <c r="H367" s="106"/>
      <c r="I367" s="106"/>
      <c r="J367" s="106"/>
      <c r="K367" s="103"/>
      <c r="L367" s="107"/>
      <c r="M367" s="12" t="b">
        <f t="shared" si="6"/>
        <v>0</v>
      </c>
    </row>
    <row r="368" spans="2:13" ht="22.5">
      <c r="B368" s="26">
        <v>356</v>
      </c>
      <c r="C368" s="54"/>
      <c r="D368" s="46"/>
      <c r="E368" s="84"/>
      <c r="F368" s="93"/>
      <c r="G368" s="52"/>
      <c r="H368" s="106"/>
      <c r="I368" s="106"/>
      <c r="J368" s="106"/>
      <c r="K368" s="103"/>
      <c r="L368" s="107"/>
      <c r="M368" s="12" t="b">
        <f t="shared" si="6"/>
        <v>0</v>
      </c>
    </row>
    <row r="369" spans="2:13" ht="22.5">
      <c r="B369" s="26">
        <v>357</v>
      </c>
      <c r="C369" s="54"/>
      <c r="D369" s="46"/>
      <c r="E369" s="84"/>
      <c r="F369" s="93"/>
      <c r="G369" s="52"/>
      <c r="H369" s="106"/>
      <c r="I369" s="106"/>
      <c r="J369" s="106"/>
      <c r="K369" s="103"/>
      <c r="L369" s="107"/>
      <c r="M369" s="12" t="b">
        <f t="shared" si="6"/>
        <v>0</v>
      </c>
    </row>
    <row r="370" spans="2:13" ht="22.5">
      <c r="B370" s="26">
        <v>358</v>
      </c>
      <c r="C370" s="54"/>
      <c r="D370" s="46"/>
      <c r="E370" s="84"/>
      <c r="F370" s="93"/>
      <c r="G370" s="52"/>
      <c r="H370" s="106"/>
      <c r="I370" s="106"/>
      <c r="J370" s="106"/>
      <c r="K370" s="103"/>
      <c r="L370" s="107"/>
      <c r="M370" s="12" t="b">
        <f t="shared" si="6"/>
        <v>0</v>
      </c>
    </row>
    <row r="371" spans="2:13" ht="22.5">
      <c r="B371" s="26">
        <v>359</v>
      </c>
      <c r="C371" s="54"/>
      <c r="D371" s="46"/>
      <c r="E371" s="84"/>
      <c r="F371" s="93"/>
      <c r="G371" s="52"/>
      <c r="H371" s="106"/>
      <c r="I371" s="106"/>
      <c r="J371" s="106"/>
      <c r="K371" s="103"/>
      <c r="L371" s="107"/>
      <c r="M371" s="12" t="b">
        <f t="shared" si="6"/>
        <v>0</v>
      </c>
    </row>
    <row r="372" spans="2:13" ht="22.5">
      <c r="B372" s="26">
        <v>360</v>
      </c>
      <c r="C372" s="54"/>
      <c r="D372" s="46"/>
      <c r="E372" s="84"/>
      <c r="F372" s="93"/>
      <c r="G372" s="52"/>
      <c r="H372" s="106"/>
      <c r="I372" s="106"/>
      <c r="J372" s="106"/>
      <c r="K372" s="103"/>
      <c r="L372" s="107"/>
      <c r="M372" s="12" t="b">
        <f t="shared" si="6"/>
        <v>0</v>
      </c>
    </row>
    <row r="373" spans="2:13" ht="22.5">
      <c r="B373" s="26">
        <v>361</v>
      </c>
      <c r="C373" s="54"/>
      <c r="D373" s="46"/>
      <c r="E373" s="84"/>
      <c r="F373" s="93"/>
      <c r="G373" s="52"/>
      <c r="H373" s="106"/>
      <c r="I373" s="106"/>
      <c r="J373" s="106"/>
      <c r="K373" s="103"/>
      <c r="L373" s="107"/>
      <c r="M373" s="12" t="b">
        <f t="shared" si="6"/>
        <v>0</v>
      </c>
    </row>
    <row r="374" spans="2:13" ht="22.5">
      <c r="B374" s="26">
        <v>362</v>
      </c>
      <c r="C374" s="54"/>
      <c r="D374" s="46"/>
      <c r="E374" s="84"/>
      <c r="F374" s="93"/>
      <c r="G374" s="52"/>
      <c r="H374" s="106"/>
      <c r="I374" s="106"/>
      <c r="J374" s="106"/>
      <c r="K374" s="103"/>
      <c r="L374" s="107"/>
      <c r="M374" s="12" t="b">
        <f t="shared" si="6"/>
        <v>0</v>
      </c>
    </row>
    <row r="375" spans="2:13" ht="22.5">
      <c r="B375" s="26">
        <v>363</v>
      </c>
      <c r="C375" s="54"/>
      <c r="D375" s="46"/>
      <c r="E375" s="84"/>
      <c r="F375" s="93"/>
      <c r="G375" s="52"/>
      <c r="H375" s="106"/>
      <c r="I375" s="106"/>
      <c r="J375" s="106"/>
      <c r="K375" s="103"/>
      <c r="L375" s="107"/>
      <c r="M375" s="12" t="b">
        <f t="shared" si="6"/>
        <v>0</v>
      </c>
    </row>
    <row r="376" spans="2:13" ht="22.5">
      <c r="B376" s="26">
        <v>364</v>
      </c>
      <c r="C376" s="54"/>
      <c r="D376" s="46"/>
      <c r="E376" s="84"/>
      <c r="F376" s="93"/>
      <c r="G376" s="52"/>
      <c r="H376" s="106"/>
      <c r="I376" s="106"/>
      <c r="J376" s="106"/>
      <c r="K376" s="103"/>
      <c r="L376" s="107"/>
      <c r="M376" s="12" t="b">
        <f t="shared" si="6"/>
        <v>0</v>
      </c>
    </row>
    <row r="377" spans="2:13" ht="22.5">
      <c r="B377" s="26">
        <v>365</v>
      </c>
      <c r="C377" s="54"/>
      <c r="D377" s="46"/>
      <c r="E377" s="84"/>
      <c r="F377" s="93"/>
      <c r="G377" s="52"/>
      <c r="H377" s="106"/>
      <c r="I377" s="106"/>
      <c r="J377" s="106"/>
      <c r="K377" s="103"/>
      <c r="L377" s="107"/>
      <c r="M377" s="12" t="b">
        <f t="shared" si="6"/>
        <v>0</v>
      </c>
    </row>
    <row r="378" spans="2:13" ht="22.5">
      <c r="B378" s="26">
        <v>366</v>
      </c>
      <c r="C378" s="54"/>
      <c r="D378" s="46"/>
      <c r="E378" s="84"/>
      <c r="F378" s="93"/>
      <c r="G378" s="52"/>
      <c r="H378" s="106"/>
      <c r="I378" s="106"/>
      <c r="J378" s="106"/>
      <c r="K378" s="103"/>
      <c r="L378" s="107"/>
      <c r="M378" s="12" t="b">
        <f t="shared" si="6"/>
        <v>0</v>
      </c>
    </row>
    <row r="379" spans="2:13" ht="22.5">
      <c r="B379" s="26">
        <v>367</v>
      </c>
      <c r="C379" s="54"/>
      <c r="D379" s="46"/>
      <c r="E379" s="84"/>
      <c r="F379" s="93"/>
      <c r="G379" s="52"/>
      <c r="H379" s="106"/>
      <c r="I379" s="106"/>
      <c r="J379" s="106"/>
      <c r="K379" s="103"/>
      <c r="L379" s="107"/>
      <c r="M379" s="12" t="b">
        <f t="shared" si="6"/>
        <v>0</v>
      </c>
    </row>
    <row r="380" spans="2:13" ht="22.5">
      <c r="B380" s="26">
        <v>368</v>
      </c>
      <c r="C380" s="54"/>
      <c r="D380" s="46"/>
      <c r="E380" s="84"/>
      <c r="F380" s="93"/>
      <c r="G380" s="52"/>
      <c r="H380" s="106"/>
      <c r="I380" s="106"/>
      <c r="J380" s="106"/>
      <c r="K380" s="103"/>
      <c r="L380" s="107"/>
      <c r="M380" s="12" t="b">
        <f t="shared" si="6"/>
        <v>0</v>
      </c>
    </row>
    <row r="381" spans="2:13" ht="22.5">
      <c r="B381" s="26">
        <v>369</v>
      </c>
      <c r="C381" s="54"/>
      <c r="D381" s="46"/>
      <c r="E381" s="84"/>
      <c r="F381" s="93"/>
      <c r="G381" s="52"/>
      <c r="H381" s="106"/>
      <c r="I381" s="106"/>
      <c r="J381" s="106"/>
      <c r="K381" s="103"/>
      <c r="L381" s="107"/>
      <c r="M381" s="12" t="b">
        <f t="shared" si="6"/>
        <v>0</v>
      </c>
    </row>
    <row r="382" spans="2:13" ht="22.5">
      <c r="B382" s="26">
        <v>370</v>
      </c>
      <c r="C382" s="54"/>
      <c r="D382" s="46"/>
      <c r="E382" s="84"/>
      <c r="F382" s="93"/>
      <c r="G382" s="52"/>
      <c r="H382" s="106"/>
      <c r="I382" s="106"/>
      <c r="J382" s="106"/>
      <c r="K382" s="103"/>
      <c r="L382" s="107"/>
      <c r="M382" s="12" t="b">
        <f t="shared" si="6"/>
        <v>0</v>
      </c>
    </row>
    <row r="383" spans="2:13" ht="22.5">
      <c r="B383" s="26">
        <v>371</v>
      </c>
      <c r="C383" s="54"/>
      <c r="D383" s="46"/>
      <c r="E383" s="84"/>
      <c r="F383" s="93"/>
      <c r="G383" s="52"/>
      <c r="H383" s="106"/>
      <c r="I383" s="106"/>
      <c r="J383" s="106"/>
      <c r="K383" s="103"/>
      <c r="L383" s="107"/>
      <c r="M383" s="12" t="b">
        <f t="shared" si="6"/>
        <v>0</v>
      </c>
    </row>
    <row r="384" spans="2:13" ht="22.5">
      <c r="B384" s="26">
        <v>372</v>
      </c>
      <c r="C384" s="54"/>
      <c r="D384" s="46"/>
      <c r="E384" s="84"/>
      <c r="F384" s="93"/>
      <c r="G384" s="52"/>
      <c r="H384" s="106"/>
      <c r="I384" s="106"/>
      <c r="J384" s="106"/>
      <c r="K384" s="103"/>
      <c r="L384" s="107"/>
      <c r="M384" s="12" t="b">
        <f t="shared" si="6"/>
        <v>0</v>
      </c>
    </row>
    <row r="385" spans="2:13" ht="22.5">
      <c r="B385" s="26">
        <v>373</v>
      </c>
      <c r="C385" s="54"/>
      <c r="D385" s="46"/>
      <c r="E385" s="84"/>
      <c r="F385" s="93"/>
      <c r="G385" s="52"/>
      <c r="H385" s="106"/>
      <c r="I385" s="106"/>
      <c r="J385" s="106"/>
      <c r="K385" s="103"/>
      <c r="L385" s="107"/>
      <c r="M385" s="12" t="b">
        <f t="shared" si="6"/>
        <v>0</v>
      </c>
    </row>
    <row r="386" spans="2:13" ht="22.5">
      <c r="B386" s="26">
        <v>374</v>
      </c>
      <c r="C386" s="54"/>
      <c r="D386" s="46"/>
      <c r="E386" s="84"/>
      <c r="F386" s="93"/>
      <c r="G386" s="52"/>
      <c r="H386" s="106"/>
      <c r="I386" s="106"/>
      <c r="J386" s="106"/>
      <c r="K386" s="103"/>
      <c r="L386" s="107"/>
      <c r="M386" s="12" t="b">
        <f t="shared" si="6"/>
        <v>0</v>
      </c>
    </row>
    <row r="387" spans="2:13" ht="22.5">
      <c r="B387" s="26">
        <v>375</v>
      </c>
      <c r="C387" s="54"/>
      <c r="D387" s="46"/>
      <c r="E387" s="84"/>
      <c r="F387" s="93"/>
      <c r="G387" s="52"/>
      <c r="H387" s="106"/>
      <c r="I387" s="106"/>
      <c r="J387" s="106"/>
      <c r="K387" s="103"/>
      <c r="L387" s="107"/>
      <c r="M387" s="12" t="b">
        <f t="shared" si="6"/>
        <v>0</v>
      </c>
    </row>
    <row r="388" spans="2:13" ht="22.5">
      <c r="B388" s="26">
        <v>376</v>
      </c>
      <c r="C388" s="54"/>
      <c r="D388" s="46"/>
      <c r="E388" s="84"/>
      <c r="F388" s="93"/>
      <c r="G388" s="52"/>
      <c r="H388" s="106"/>
      <c r="I388" s="106"/>
      <c r="J388" s="106"/>
      <c r="K388" s="103"/>
      <c r="L388" s="107"/>
      <c r="M388" s="12" t="b">
        <f t="shared" si="6"/>
        <v>0</v>
      </c>
    </row>
    <row r="389" spans="2:13" ht="22.5">
      <c r="B389" s="26">
        <v>377</v>
      </c>
      <c r="C389" s="54"/>
      <c r="D389" s="46"/>
      <c r="E389" s="84"/>
      <c r="F389" s="93"/>
      <c r="G389" s="52"/>
      <c r="H389" s="106"/>
      <c r="I389" s="106"/>
      <c r="J389" s="106"/>
      <c r="K389" s="103"/>
      <c r="L389" s="107"/>
      <c r="M389" s="12" t="b">
        <f t="shared" si="6"/>
        <v>0</v>
      </c>
    </row>
    <row r="390" spans="2:13" ht="22.5">
      <c r="B390" s="26">
        <v>378</v>
      </c>
      <c r="C390" s="54"/>
      <c r="D390" s="46"/>
      <c r="E390" s="84"/>
      <c r="F390" s="93"/>
      <c r="G390" s="52"/>
      <c r="H390" s="106"/>
      <c r="I390" s="106"/>
      <c r="J390" s="106"/>
      <c r="K390" s="103"/>
      <c r="L390" s="107"/>
      <c r="M390" s="12" t="b">
        <f t="shared" si="6"/>
        <v>0</v>
      </c>
    </row>
    <row r="391" spans="2:13" ht="22.5">
      <c r="B391" s="26">
        <v>379</v>
      </c>
      <c r="C391" s="54"/>
      <c r="D391" s="46"/>
      <c r="E391" s="84"/>
      <c r="F391" s="93"/>
      <c r="G391" s="52"/>
      <c r="H391" s="106"/>
      <c r="I391" s="106"/>
      <c r="J391" s="106"/>
      <c r="K391" s="103"/>
      <c r="L391" s="107"/>
      <c r="M391" s="12" t="b">
        <f t="shared" si="6"/>
        <v>0</v>
      </c>
    </row>
    <row r="392" spans="2:13" ht="22.5">
      <c r="B392" s="26">
        <v>380</v>
      </c>
      <c r="C392" s="54"/>
      <c r="D392" s="46"/>
      <c r="E392" s="84"/>
      <c r="F392" s="93"/>
      <c r="G392" s="52"/>
      <c r="H392" s="106"/>
      <c r="I392" s="106"/>
      <c r="J392" s="106"/>
      <c r="K392" s="103"/>
      <c r="L392" s="107"/>
      <c r="M392" s="12" t="b">
        <f t="shared" si="6"/>
        <v>0</v>
      </c>
    </row>
    <row r="393" spans="2:13" ht="22.5">
      <c r="B393" s="26">
        <v>381</v>
      </c>
      <c r="C393" s="54"/>
      <c r="D393" s="46"/>
      <c r="E393" s="84"/>
      <c r="F393" s="93"/>
      <c r="G393" s="52"/>
      <c r="H393" s="106"/>
      <c r="I393" s="106"/>
      <c r="J393" s="106"/>
      <c r="K393" s="103"/>
      <c r="L393" s="107"/>
      <c r="M393" s="12" t="b">
        <f t="shared" si="6"/>
        <v>0</v>
      </c>
    </row>
    <row r="394" spans="2:13" ht="22.5">
      <c r="B394" s="26">
        <v>382</v>
      </c>
      <c r="C394" s="54"/>
      <c r="D394" s="46"/>
      <c r="E394" s="84"/>
      <c r="F394" s="93"/>
      <c r="G394" s="52"/>
      <c r="H394" s="106"/>
      <c r="I394" s="106"/>
      <c r="J394" s="106"/>
      <c r="K394" s="103"/>
      <c r="L394" s="107"/>
      <c r="M394" s="12" t="b">
        <f t="shared" si="6"/>
        <v>0</v>
      </c>
    </row>
    <row r="395" spans="2:13" ht="22.5">
      <c r="B395" s="26">
        <v>383</v>
      </c>
      <c r="C395" s="54"/>
      <c r="D395" s="46"/>
      <c r="E395" s="84"/>
      <c r="F395" s="93"/>
      <c r="G395" s="52"/>
      <c r="H395" s="106"/>
      <c r="I395" s="106"/>
      <c r="J395" s="106"/>
      <c r="K395" s="103"/>
      <c r="L395" s="107"/>
      <c r="M395" s="12" t="b">
        <f t="shared" si="6"/>
        <v>0</v>
      </c>
    </row>
    <row r="396" spans="2:13" ht="22.5">
      <c r="B396" s="26">
        <v>384</v>
      </c>
      <c r="C396" s="54"/>
      <c r="D396" s="46"/>
      <c r="E396" s="84"/>
      <c r="F396" s="93"/>
      <c r="G396" s="52"/>
      <c r="H396" s="106"/>
      <c r="I396" s="106"/>
      <c r="J396" s="106"/>
      <c r="K396" s="103"/>
      <c r="L396" s="107"/>
      <c r="M396" s="12" t="b">
        <f t="shared" si="6"/>
        <v>0</v>
      </c>
    </row>
    <row r="397" spans="2:13" ht="22.5">
      <c r="B397" s="26">
        <v>385</v>
      </c>
      <c r="C397" s="54"/>
      <c r="D397" s="46"/>
      <c r="E397" s="84"/>
      <c r="F397" s="93"/>
      <c r="G397" s="52"/>
      <c r="H397" s="106"/>
      <c r="I397" s="106"/>
      <c r="J397" s="106"/>
      <c r="K397" s="103"/>
      <c r="L397" s="107"/>
      <c r="M397" s="12" t="b">
        <f t="shared" ref="M397:M460" si="7">IF(COUNTA(E397:G397)=0,FALSE,TRUE)</f>
        <v>0</v>
      </c>
    </row>
    <row r="398" spans="2:13" ht="22.5">
      <c r="B398" s="26">
        <v>386</v>
      </c>
      <c r="C398" s="54"/>
      <c r="D398" s="46"/>
      <c r="E398" s="84"/>
      <c r="F398" s="93"/>
      <c r="G398" s="52"/>
      <c r="H398" s="106"/>
      <c r="I398" s="106"/>
      <c r="J398" s="106"/>
      <c r="K398" s="103"/>
      <c r="L398" s="107"/>
      <c r="M398" s="12" t="b">
        <f t="shared" si="7"/>
        <v>0</v>
      </c>
    </row>
    <row r="399" spans="2:13" ht="22.5">
      <c r="B399" s="26">
        <v>387</v>
      </c>
      <c r="C399" s="54"/>
      <c r="D399" s="46"/>
      <c r="E399" s="84"/>
      <c r="F399" s="93"/>
      <c r="G399" s="52"/>
      <c r="H399" s="106"/>
      <c r="I399" s="106"/>
      <c r="J399" s="106"/>
      <c r="K399" s="103"/>
      <c r="L399" s="107"/>
      <c r="M399" s="12" t="b">
        <f t="shared" si="7"/>
        <v>0</v>
      </c>
    </row>
    <row r="400" spans="2:13" ht="22.5">
      <c r="B400" s="26">
        <v>388</v>
      </c>
      <c r="C400" s="54"/>
      <c r="D400" s="46"/>
      <c r="E400" s="84"/>
      <c r="F400" s="93"/>
      <c r="G400" s="52"/>
      <c r="H400" s="106"/>
      <c r="I400" s="106"/>
      <c r="J400" s="106"/>
      <c r="K400" s="103"/>
      <c r="L400" s="107"/>
      <c r="M400" s="12" t="b">
        <f t="shared" si="7"/>
        <v>0</v>
      </c>
    </row>
    <row r="401" spans="2:13" ht="22.5">
      <c r="B401" s="26">
        <v>389</v>
      </c>
      <c r="C401" s="54"/>
      <c r="D401" s="46"/>
      <c r="E401" s="84"/>
      <c r="F401" s="93"/>
      <c r="G401" s="52"/>
      <c r="H401" s="106"/>
      <c r="I401" s="106"/>
      <c r="J401" s="106"/>
      <c r="K401" s="103"/>
      <c r="L401" s="107"/>
      <c r="M401" s="12" t="b">
        <f t="shared" si="7"/>
        <v>0</v>
      </c>
    </row>
    <row r="402" spans="2:13" ht="22.5">
      <c r="B402" s="26">
        <v>390</v>
      </c>
      <c r="C402" s="54"/>
      <c r="D402" s="46"/>
      <c r="E402" s="84"/>
      <c r="F402" s="93"/>
      <c r="G402" s="52"/>
      <c r="H402" s="106"/>
      <c r="I402" s="106"/>
      <c r="J402" s="106"/>
      <c r="K402" s="103"/>
      <c r="L402" s="107"/>
      <c r="M402" s="12" t="b">
        <f t="shared" si="7"/>
        <v>0</v>
      </c>
    </row>
    <row r="403" spans="2:13" ht="22.5">
      <c r="B403" s="26">
        <v>391</v>
      </c>
      <c r="C403" s="54"/>
      <c r="D403" s="46"/>
      <c r="E403" s="84"/>
      <c r="F403" s="93"/>
      <c r="G403" s="52"/>
      <c r="H403" s="106"/>
      <c r="I403" s="106"/>
      <c r="J403" s="106"/>
      <c r="K403" s="103"/>
      <c r="L403" s="107"/>
      <c r="M403" s="12" t="b">
        <f t="shared" si="7"/>
        <v>0</v>
      </c>
    </row>
    <row r="404" spans="2:13" ht="22.5">
      <c r="B404" s="26">
        <v>392</v>
      </c>
      <c r="C404" s="54"/>
      <c r="D404" s="46"/>
      <c r="E404" s="84"/>
      <c r="F404" s="93"/>
      <c r="G404" s="52"/>
      <c r="H404" s="106"/>
      <c r="I404" s="106"/>
      <c r="J404" s="106"/>
      <c r="K404" s="103"/>
      <c r="L404" s="107"/>
      <c r="M404" s="12" t="b">
        <f t="shared" si="7"/>
        <v>0</v>
      </c>
    </row>
    <row r="405" spans="2:13" ht="22.5">
      <c r="B405" s="26">
        <v>393</v>
      </c>
      <c r="C405" s="54"/>
      <c r="D405" s="46"/>
      <c r="E405" s="84"/>
      <c r="F405" s="93"/>
      <c r="G405" s="52"/>
      <c r="H405" s="106"/>
      <c r="I405" s="106"/>
      <c r="J405" s="106"/>
      <c r="K405" s="103"/>
      <c r="L405" s="107"/>
      <c r="M405" s="12" t="b">
        <f t="shared" si="7"/>
        <v>0</v>
      </c>
    </row>
    <row r="406" spans="2:13" ht="22.5">
      <c r="B406" s="26">
        <v>394</v>
      </c>
      <c r="C406" s="54"/>
      <c r="D406" s="46"/>
      <c r="E406" s="84"/>
      <c r="F406" s="93"/>
      <c r="G406" s="52"/>
      <c r="H406" s="106"/>
      <c r="I406" s="106"/>
      <c r="J406" s="106"/>
      <c r="K406" s="103"/>
      <c r="L406" s="107"/>
      <c r="M406" s="12" t="b">
        <f t="shared" si="7"/>
        <v>0</v>
      </c>
    </row>
    <row r="407" spans="2:13" ht="22.5">
      <c r="B407" s="26">
        <v>395</v>
      </c>
      <c r="C407" s="54"/>
      <c r="D407" s="46"/>
      <c r="E407" s="84"/>
      <c r="F407" s="93"/>
      <c r="G407" s="52"/>
      <c r="H407" s="106"/>
      <c r="I407" s="106"/>
      <c r="J407" s="106"/>
      <c r="K407" s="103"/>
      <c r="L407" s="107"/>
      <c r="M407" s="12" t="b">
        <f t="shared" si="7"/>
        <v>0</v>
      </c>
    </row>
    <row r="408" spans="2:13" ht="22.5">
      <c r="B408" s="26">
        <v>396</v>
      </c>
      <c r="C408" s="54"/>
      <c r="D408" s="46"/>
      <c r="E408" s="84"/>
      <c r="F408" s="93"/>
      <c r="G408" s="52"/>
      <c r="H408" s="106"/>
      <c r="I408" s="106"/>
      <c r="J408" s="106"/>
      <c r="K408" s="103"/>
      <c r="L408" s="107"/>
      <c r="M408" s="12" t="b">
        <f t="shared" si="7"/>
        <v>0</v>
      </c>
    </row>
    <row r="409" spans="2:13" ht="22.5">
      <c r="B409" s="26">
        <v>397</v>
      </c>
      <c r="C409" s="54"/>
      <c r="D409" s="46"/>
      <c r="E409" s="84"/>
      <c r="F409" s="93"/>
      <c r="G409" s="52"/>
      <c r="H409" s="106"/>
      <c r="I409" s="106"/>
      <c r="J409" s="106"/>
      <c r="K409" s="103"/>
      <c r="L409" s="107"/>
      <c r="M409" s="12" t="b">
        <f t="shared" si="7"/>
        <v>0</v>
      </c>
    </row>
    <row r="410" spans="2:13" ht="22.5">
      <c r="B410" s="26">
        <v>398</v>
      </c>
      <c r="C410" s="54"/>
      <c r="D410" s="46"/>
      <c r="E410" s="84"/>
      <c r="F410" s="93"/>
      <c r="G410" s="52"/>
      <c r="H410" s="106"/>
      <c r="I410" s="106"/>
      <c r="J410" s="106"/>
      <c r="K410" s="103"/>
      <c r="L410" s="107"/>
      <c r="M410" s="12" t="b">
        <f t="shared" si="7"/>
        <v>0</v>
      </c>
    </row>
    <row r="411" spans="2:13" ht="22.5">
      <c r="B411" s="26">
        <v>399</v>
      </c>
      <c r="C411" s="54"/>
      <c r="D411" s="46"/>
      <c r="E411" s="84"/>
      <c r="F411" s="93"/>
      <c r="G411" s="52"/>
      <c r="H411" s="106"/>
      <c r="I411" s="106"/>
      <c r="J411" s="106"/>
      <c r="K411" s="103"/>
      <c r="L411" s="107"/>
      <c r="M411" s="12" t="b">
        <f t="shared" si="7"/>
        <v>0</v>
      </c>
    </row>
    <row r="412" spans="2:13" ht="22.5">
      <c r="B412" s="26">
        <v>400</v>
      </c>
      <c r="C412" s="54"/>
      <c r="D412" s="46"/>
      <c r="E412" s="84"/>
      <c r="F412" s="93"/>
      <c r="G412" s="52"/>
      <c r="H412" s="106"/>
      <c r="I412" s="106"/>
      <c r="J412" s="106"/>
      <c r="K412" s="103"/>
      <c r="L412" s="107"/>
      <c r="M412" s="12" t="b">
        <f t="shared" si="7"/>
        <v>0</v>
      </c>
    </row>
    <row r="413" spans="2:13" ht="22.5">
      <c r="B413" s="26">
        <v>401</v>
      </c>
      <c r="C413" s="54"/>
      <c r="D413" s="46"/>
      <c r="E413" s="84"/>
      <c r="F413" s="93"/>
      <c r="G413" s="52"/>
      <c r="H413" s="106"/>
      <c r="I413" s="106"/>
      <c r="J413" s="106"/>
      <c r="K413" s="103"/>
      <c r="L413" s="107"/>
      <c r="M413" s="12" t="b">
        <f t="shared" si="7"/>
        <v>0</v>
      </c>
    </row>
    <row r="414" spans="2:13" ht="22.5">
      <c r="B414" s="26">
        <v>402</v>
      </c>
      <c r="C414" s="54"/>
      <c r="D414" s="46"/>
      <c r="E414" s="84"/>
      <c r="F414" s="93"/>
      <c r="G414" s="52"/>
      <c r="H414" s="106"/>
      <c r="I414" s="106"/>
      <c r="J414" s="106"/>
      <c r="K414" s="103"/>
      <c r="L414" s="107"/>
      <c r="M414" s="12" t="b">
        <f t="shared" si="7"/>
        <v>0</v>
      </c>
    </row>
    <row r="415" spans="2:13" ht="22.5">
      <c r="B415" s="26">
        <v>403</v>
      </c>
      <c r="C415" s="54"/>
      <c r="D415" s="46"/>
      <c r="E415" s="84"/>
      <c r="F415" s="93"/>
      <c r="G415" s="52"/>
      <c r="H415" s="106"/>
      <c r="I415" s="106"/>
      <c r="J415" s="106"/>
      <c r="K415" s="103"/>
      <c r="L415" s="107"/>
      <c r="M415" s="12" t="b">
        <f t="shared" si="7"/>
        <v>0</v>
      </c>
    </row>
    <row r="416" spans="2:13" ht="22.5">
      <c r="B416" s="26">
        <v>404</v>
      </c>
      <c r="C416" s="54"/>
      <c r="D416" s="46"/>
      <c r="E416" s="84"/>
      <c r="F416" s="93"/>
      <c r="G416" s="52"/>
      <c r="H416" s="106"/>
      <c r="I416" s="106"/>
      <c r="J416" s="106"/>
      <c r="K416" s="103"/>
      <c r="L416" s="107"/>
      <c r="M416" s="12" t="b">
        <f t="shared" si="7"/>
        <v>0</v>
      </c>
    </row>
    <row r="417" spans="2:13" ht="22.5">
      <c r="B417" s="26">
        <v>405</v>
      </c>
      <c r="C417" s="54"/>
      <c r="D417" s="46"/>
      <c r="E417" s="84"/>
      <c r="F417" s="93"/>
      <c r="G417" s="52"/>
      <c r="H417" s="106"/>
      <c r="I417" s="106"/>
      <c r="J417" s="106"/>
      <c r="K417" s="103"/>
      <c r="L417" s="107"/>
      <c r="M417" s="12" t="b">
        <f t="shared" si="7"/>
        <v>0</v>
      </c>
    </row>
    <row r="418" spans="2:13" ht="22.5">
      <c r="B418" s="26">
        <v>406</v>
      </c>
      <c r="C418" s="54"/>
      <c r="D418" s="46"/>
      <c r="E418" s="84"/>
      <c r="F418" s="93"/>
      <c r="G418" s="52"/>
      <c r="H418" s="106"/>
      <c r="I418" s="106"/>
      <c r="J418" s="106"/>
      <c r="K418" s="103"/>
      <c r="L418" s="107"/>
      <c r="M418" s="12" t="b">
        <f t="shared" si="7"/>
        <v>0</v>
      </c>
    </row>
    <row r="419" spans="2:13" ht="22.5">
      <c r="B419" s="26">
        <v>407</v>
      </c>
      <c r="C419" s="54"/>
      <c r="D419" s="46"/>
      <c r="E419" s="84"/>
      <c r="F419" s="93"/>
      <c r="G419" s="52"/>
      <c r="H419" s="106"/>
      <c r="I419" s="106"/>
      <c r="J419" s="106"/>
      <c r="K419" s="103"/>
      <c r="L419" s="107"/>
      <c r="M419" s="12" t="b">
        <f t="shared" si="7"/>
        <v>0</v>
      </c>
    </row>
    <row r="420" spans="2:13" ht="22.5">
      <c r="B420" s="26">
        <v>408</v>
      </c>
      <c r="C420" s="54"/>
      <c r="D420" s="46"/>
      <c r="E420" s="84"/>
      <c r="F420" s="93"/>
      <c r="G420" s="52"/>
      <c r="H420" s="106"/>
      <c r="I420" s="106"/>
      <c r="J420" s="106"/>
      <c r="K420" s="103"/>
      <c r="L420" s="107"/>
      <c r="M420" s="12" t="b">
        <f t="shared" si="7"/>
        <v>0</v>
      </c>
    </row>
    <row r="421" spans="2:13" ht="22.5">
      <c r="B421" s="26">
        <v>409</v>
      </c>
      <c r="C421" s="54"/>
      <c r="D421" s="46"/>
      <c r="E421" s="84"/>
      <c r="F421" s="93"/>
      <c r="G421" s="52"/>
      <c r="H421" s="106"/>
      <c r="I421" s="106"/>
      <c r="J421" s="106"/>
      <c r="K421" s="103"/>
      <c r="L421" s="107"/>
      <c r="M421" s="12" t="b">
        <f t="shared" si="7"/>
        <v>0</v>
      </c>
    </row>
    <row r="422" spans="2:13" ht="22.5">
      <c r="B422" s="26">
        <v>410</v>
      </c>
      <c r="C422" s="54"/>
      <c r="D422" s="46"/>
      <c r="E422" s="84"/>
      <c r="F422" s="93"/>
      <c r="G422" s="52"/>
      <c r="H422" s="106"/>
      <c r="I422" s="106"/>
      <c r="J422" s="106"/>
      <c r="K422" s="103"/>
      <c r="L422" s="107"/>
      <c r="M422" s="12" t="b">
        <f t="shared" si="7"/>
        <v>0</v>
      </c>
    </row>
    <row r="423" spans="2:13" ht="22.5">
      <c r="B423" s="26">
        <v>411</v>
      </c>
      <c r="C423" s="54"/>
      <c r="D423" s="46"/>
      <c r="E423" s="84"/>
      <c r="F423" s="93"/>
      <c r="G423" s="52"/>
      <c r="H423" s="106"/>
      <c r="I423" s="106"/>
      <c r="J423" s="106"/>
      <c r="K423" s="103"/>
      <c r="L423" s="107"/>
      <c r="M423" s="12" t="b">
        <f t="shared" si="7"/>
        <v>0</v>
      </c>
    </row>
    <row r="424" spans="2:13" ht="22.5">
      <c r="B424" s="26">
        <v>412</v>
      </c>
      <c r="C424" s="54"/>
      <c r="D424" s="46"/>
      <c r="E424" s="84"/>
      <c r="F424" s="93"/>
      <c r="G424" s="52"/>
      <c r="H424" s="106"/>
      <c r="I424" s="106"/>
      <c r="J424" s="106"/>
      <c r="K424" s="103"/>
      <c r="L424" s="107"/>
      <c r="M424" s="12" t="b">
        <f t="shared" si="7"/>
        <v>0</v>
      </c>
    </row>
    <row r="425" spans="2:13" ht="22.5">
      <c r="B425" s="26">
        <v>413</v>
      </c>
      <c r="C425" s="54"/>
      <c r="D425" s="46"/>
      <c r="E425" s="84"/>
      <c r="F425" s="93"/>
      <c r="G425" s="52"/>
      <c r="H425" s="106"/>
      <c r="I425" s="106"/>
      <c r="J425" s="106"/>
      <c r="K425" s="103"/>
      <c r="L425" s="107"/>
      <c r="M425" s="12" t="b">
        <f t="shared" si="7"/>
        <v>0</v>
      </c>
    </row>
    <row r="426" spans="2:13" ht="22.5">
      <c r="B426" s="26">
        <v>414</v>
      </c>
      <c r="C426" s="54"/>
      <c r="D426" s="46"/>
      <c r="E426" s="84"/>
      <c r="F426" s="93"/>
      <c r="G426" s="52"/>
      <c r="H426" s="106"/>
      <c r="I426" s="106"/>
      <c r="J426" s="106"/>
      <c r="K426" s="103"/>
      <c r="L426" s="107"/>
      <c r="M426" s="12" t="b">
        <f t="shared" si="7"/>
        <v>0</v>
      </c>
    </row>
    <row r="427" spans="2:13" ht="22.5">
      <c r="B427" s="26">
        <v>415</v>
      </c>
      <c r="C427" s="54"/>
      <c r="D427" s="46"/>
      <c r="E427" s="84"/>
      <c r="F427" s="93"/>
      <c r="G427" s="52"/>
      <c r="H427" s="106"/>
      <c r="I427" s="106"/>
      <c r="J427" s="106"/>
      <c r="K427" s="103"/>
      <c r="L427" s="107"/>
      <c r="M427" s="12" t="b">
        <f t="shared" si="7"/>
        <v>0</v>
      </c>
    </row>
    <row r="428" spans="2:13" ht="22.5">
      <c r="B428" s="26">
        <v>416</v>
      </c>
      <c r="C428" s="54"/>
      <c r="D428" s="46"/>
      <c r="E428" s="84"/>
      <c r="F428" s="93"/>
      <c r="G428" s="52"/>
      <c r="H428" s="106"/>
      <c r="I428" s="106"/>
      <c r="J428" s="106"/>
      <c r="K428" s="103"/>
      <c r="L428" s="107"/>
      <c r="M428" s="12" t="b">
        <f t="shared" si="7"/>
        <v>0</v>
      </c>
    </row>
    <row r="429" spans="2:13" ht="22.5">
      <c r="B429" s="26">
        <v>417</v>
      </c>
      <c r="C429" s="54"/>
      <c r="D429" s="46"/>
      <c r="E429" s="84"/>
      <c r="F429" s="93"/>
      <c r="G429" s="52"/>
      <c r="H429" s="106"/>
      <c r="I429" s="106"/>
      <c r="J429" s="106"/>
      <c r="K429" s="103"/>
      <c r="L429" s="107"/>
      <c r="M429" s="12" t="b">
        <f t="shared" si="7"/>
        <v>0</v>
      </c>
    </row>
    <row r="430" spans="2:13" ht="22.5">
      <c r="B430" s="26">
        <v>418</v>
      </c>
      <c r="C430" s="54"/>
      <c r="D430" s="46"/>
      <c r="E430" s="84"/>
      <c r="F430" s="93"/>
      <c r="G430" s="52"/>
      <c r="H430" s="106"/>
      <c r="I430" s="106"/>
      <c r="J430" s="106"/>
      <c r="K430" s="103"/>
      <c r="L430" s="107"/>
      <c r="M430" s="12" t="b">
        <f t="shared" si="7"/>
        <v>0</v>
      </c>
    </row>
    <row r="431" spans="2:13" ht="22.5">
      <c r="B431" s="26">
        <v>419</v>
      </c>
      <c r="C431" s="54"/>
      <c r="D431" s="46"/>
      <c r="E431" s="84"/>
      <c r="F431" s="93"/>
      <c r="G431" s="52"/>
      <c r="H431" s="106"/>
      <c r="I431" s="106"/>
      <c r="J431" s="106"/>
      <c r="K431" s="103"/>
      <c r="L431" s="107"/>
      <c r="M431" s="12" t="b">
        <f t="shared" si="7"/>
        <v>0</v>
      </c>
    </row>
    <row r="432" spans="2:13" ht="22.5">
      <c r="B432" s="26">
        <v>420</v>
      </c>
      <c r="C432" s="54"/>
      <c r="D432" s="46"/>
      <c r="E432" s="84"/>
      <c r="F432" s="93"/>
      <c r="G432" s="52"/>
      <c r="H432" s="106"/>
      <c r="I432" s="106"/>
      <c r="J432" s="106"/>
      <c r="K432" s="103"/>
      <c r="L432" s="107"/>
      <c r="M432" s="12" t="b">
        <f t="shared" si="7"/>
        <v>0</v>
      </c>
    </row>
    <row r="433" spans="2:13" ht="22.5">
      <c r="B433" s="26">
        <v>421</v>
      </c>
      <c r="C433" s="54"/>
      <c r="D433" s="46"/>
      <c r="E433" s="84"/>
      <c r="F433" s="93"/>
      <c r="G433" s="52"/>
      <c r="H433" s="106"/>
      <c r="I433" s="106"/>
      <c r="J433" s="106"/>
      <c r="K433" s="103"/>
      <c r="L433" s="107"/>
      <c r="M433" s="12" t="b">
        <f t="shared" si="7"/>
        <v>0</v>
      </c>
    </row>
    <row r="434" spans="2:13" ht="22.5">
      <c r="B434" s="26">
        <v>422</v>
      </c>
      <c r="C434" s="54"/>
      <c r="D434" s="46"/>
      <c r="E434" s="84"/>
      <c r="F434" s="93"/>
      <c r="G434" s="52"/>
      <c r="H434" s="106"/>
      <c r="I434" s="106"/>
      <c r="J434" s="106"/>
      <c r="K434" s="103"/>
      <c r="L434" s="107"/>
      <c r="M434" s="12" t="b">
        <f t="shared" si="7"/>
        <v>0</v>
      </c>
    </row>
    <row r="435" spans="2:13" ht="22.5">
      <c r="B435" s="26">
        <v>423</v>
      </c>
      <c r="C435" s="54"/>
      <c r="D435" s="46"/>
      <c r="E435" s="84"/>
      <c r="F435" s="93"/>
      <c r="G435" s="52"/>
      <c r="H435" s="106"/>
      <c r="I435" s="106"/>
      <c r="J435" s="106"/>
      <c r="K435" s="103"/>
      <c r="L435" s="107"/>
      <c r="M435" s="12" t="b">
        <f t="shared" si="7"/>
        <v>0</v>
      </c>
    </row>
    <row r="436" spans="2:13" ht="22.5">
      <c r="B436" s="26">
        <v>424</v>
      </c>
      <c r="C436" s="54"/>
      <c r="D436" s="46"/>
      <c r="E436" s="84"/>
      <c r="F436" s="93"/>
      <c r="G436" s="52"/>
      <c r="H436" s="106"/>
      <c r="I436" s="106"/>
      <c r="J436" s="106"/>
      <c r="K436" s="103"/>
      <c r="L436" s="107"/>
      <c r="M436" s="12" t="b">
        <f t="shared" si="7"/>
        <v>0</v>
      </c>
    </row>
    <row r="437" spans="2:13" ht="22.5">
      <c r="B437" s="26">
        <v>425</v>
      </c>
      <c r="C437" s="54"/>
      <c r="D437" s="46"/>
      <c r="E437" s="84"/>
      <c r="F437" s="93"/>
      <c r="G437" s="52"/>
      <c r="H437" s="106"/>
      <c r="I437" s="106"/>
      <c r="J437" s="106"/>
      <c r="K437" s="103"/>
      <c r="L437" s="107"/>
      <c r="M437" s="12" t="b">
        <f t="shared" si="7"/>
        <v>0</v>
      </c>
    </row>
    <row r="438" spans="2:13" ht="22.5">
      <c r="B438" s="26">
        <v>426</v>
      </c>
      <c r="C438" s="54"/>
      <c r="D438" s="46"/>
      <c r="E438" s="84"/>
      <c r="F438" s="93"/>
      <c r="G438" s="52"/>
      <c r="H438" s="106"/>
      <c r="I438" s="106"/>
      <c r="J438" s="106"/>
      <c r="K438" s="103"/>
      <c r="L438" s="107"/>
      <c r="M438" s="12" t="b">
        <f t="shared" si="7"/>
        <v>0</v>
      </c>
    </row>
    <row r="439" spans="2:13" ht="22.5">
      <c r="B439" s="26">
        <v>427</v>
      </c>
      <c r="C439" s="54"/>
      <c r="D439" s="46"/>
      <c r="E439" s="84"/>
      <c r="F439" s="93"/>
      <c r="G439" s="52"/>
      <c r="H439" s="106"/>
      <c r="I439" s="106"/>
      <c r="J439" s="106"/>
      <c r="K439" s="103"/>
      <c r="L439" s="107"/>
      <c r="M439" s="12" t="b">
        <f t="shared" si="7"/>
        <v>0</v>
      </c>
    </row>
    <row r="440" spans="2:13" ht="22.5">
      <c r="B440" s="26">
        <v>428</v>
      </c>
      <c r="C440" s="54"/>
      <c r="D440" s="46"/>
      <c r="E440" s="84"/>
      <c r="F440" s="93"/>
      <c r="G440" s="52"/>
      <c r="H440" s="106"/>
      <c r="I440" s="106"/>
      <c r="J440" s="106"/>
      <c r="K440" s="103"/>
      <c r="L440" s="107"/>
      <c r="M440" s="12" t="b">
        <f t="shared" si="7"/>
        <v>0</v>
      </c>
    </row>
    <row r="441" spans="2:13" ht="22.5">
      <c r="B441" s="26">
        <v>429</v>
      </c>
      <c r="C441" s="54"/>
      <c r="D441" s="46"/>
      <c r="E441" s="84"/>
      <c r="F441" s="93"/>
      <c r="G441" s="52"/>
      <c r="H441" s="106"/>
      <c r="I441" s="106"/>
      <c r="J441" s="106"/>
      <c r="K441" s="103"/>
      <c r="L441" s="107"/>
      <c r="M441" s="12" t="b">
        <f t="shared" si="7"/>
        <v>0</v>
      </c>
    </row>
    <row r="442" spans="2:13" ht="22.5">
      <c r="B442" s="26">
        <v>430</v>
      </c>
      <c r="C442" s="54"/>
      <c r="D442" s="46"/>
      <c r="E442" s="84"/>
      <c r="F442" s="93"/>
      <c r="G442" s="52"/>
      <c r="H442" s="106"/>
      <c r="I442" s="106"/>
      <c r="J442" s="106"/>
      <c r="K442" s="103"/>
      <c r="L442" s="107"/>
      <c r="M442" s="12" t="b">
        <f t="shared" si="7"/>
        <v>0</v>
      </c>
    </row>
    <row r="443" spans="2:13" ht="22.5">
      <c r="B443" s="26">
        <v>431</v>
      </c>
      <c r="C443" s="54"/>
      <c r="D443" s="46"/>
      <c r="E443" s="84"/>
      <c r="F443" s="93"/>
      <c r="G443" s="52"/>
      <c r="H443" s="106"/>
      <c r="I443" s="106"/>
      <c r="J443" s="106"/>
      <c r="K443" s="103"/>
      <c r="L443" s="107"/>
      <c r="M443" s="12" t="b">
        <f t="shared" si="7"/>
        <v>0</v>
      </c>
    </row>
    <row r="444" spans="2:13" ht="22.5">
      <c r="B444" s="26">
        <v>432</v>
      </c>
      <c r="C444" s="54"/>
      <c r="D444" s="46"/>
      <c r="E444" s="84"/>
      <c r="F444" s="93"/>
      <c r="G444" s="52"/>
      <c r="H444" s="106"/>
      <c r="I444" s="106"/>
      <c r="J444" s="106"/>
      <c r="K444" s="103"/>
      <c r="L444" s="107"/>
      <c r="M444" s="12" t="b">
        <f t="shared" si="7"/>
        <v>0</v>
      </c>
    </row>
    <row r="445" spans="2:13" ht="22.5">
      <c r="B445" s="26">
        <v>433</v>
      </c>
      <c r="C445" s="54"/>
      <c r="D445" s="46"/>
      <c r="E445" s="84"/>
      <c r="F445" s="93"/>
      <c r="G445" s="52"/>
      <c r="H445" s="106"/>
      <c r="I445" s="106"/>
      <c r="J445" s="106"/>
      <c r="K445" s="103"/>
      <c r="L445" s="107"/>
      <c r="M445" s="12" t="b">
        <f t="shared" si="7"/>
        <v>0</v>
      </c>
    </row>
    <row r="446" spans="2:13" ht="22.5">
      <c r="B446" s="26">
        <v>434</v>
      </c>
      <c r="C446" s="54"/>
      <c r="D446" s="46"/>
      <c r="E446" s="84"/>
      <c r="F446" s="93"/>
      <c r="G446" s="52"/>
      <c r="H446" s="106"/>
      <c r="I446" s="106"/>
      <c r="J446" s="106"/>
      <c r="K446" s="103"/>
      <c r="L446" s="107"/>
      <c r="M446" s="12" t="b">
        <f t="shared" si="7"/>
        <v>0</v>
      </c>
    </row>
    <row r="447" spans="2:13" ht="22.5">
      <c r="B447" s="26">
        <v>435</v>
      </c>
      <c r="C447" s="54"/>
      <c r="D447" s="46"/>
      <c r="E447" s="84"/>
      <c r="F447" s="93"/>
      <c r="G447" s="52"/>
      <c r="H447" s="106"/>
      <c r="I447" s="106"/>
      <c r="J447" s="106"/>
      <c r="K447" s="103"/>
      <c r="L447" s="107"/>
      <c r="M447" s="12" t="b">
        <f t="shared" si="7"/>
        <v>0</v>
      </c>
    </row>
    <row r="448" spans="2:13" ht="22.5">
      <c r="B448" s="26">
        <v>436</v>
      </c>
      <c r="C448" s="54"/>
      <c r="D448" s="46"/>
      <c r="E448" s="84"/>
      <c r="F448" s="93"/>
      <c r="G448" s="52"/>
      <c r="H448" s="106"/>
      <c r="I448" s="106"/>
      <c r="J448" s="106"/>
      <c r="K448" s="103"/>
      <c r="L448" s="107"/>
      <c r="M448" s="12" t="b">
        <f t="shared" si="7"/>
        <v>0</v>
      </c>
    </row>
    <row r="449" spans="2:13" ht="22.5">
      <c r="B449" s="26">
        <v>437</v>
      </c>
      <c r="C449" s="54"/>
      <c r="D449" s="46"/>
      <c r="E449" s="84"/>
      <c r="F449" s="93"/>
      <c r="G449" s="52"/>
      <c r="H449" s="106"/>
      <c r="I449" s="106"/>
      <c r="J449" s="106"/>
      <c r="K449" s="103"/>
      <c r="L449" s="107"/>
      <c r="M449" s="12" t="b">
        <f t="shared" si="7"/>
        <v>0</v>
      </c>
    </row>
    <row r="450" spans="2:13" ht="22.5">
      <c r="B450" s="26">
        <v>438</v>
      </c>
      <c r="C450" s="54"/>
      <c r="D450" s="46"/>
      <c r="E450" s="84"/>
      <c r="F450" s="93"/>
      <c r="G450" s="52"/>
      <c r="H450" s="106"/>
      <c r="I450" s="106"/>
      <c r="J450" s="106"/>
      <c r="K450" s="103"/>
      <c r="L450" s="107"/>
      <c r="M450" s="12" t="b">
        <f t="shared" si="7"/>
        <v>0</v>
      </c>
    </row>
    <row r="451" spans="2:13" ht="22.5">
      <c r="B451" s="26">
        <v>439</v>
      </c>
      <c r="C451" s="54"/>
      <c r="D451" s="46"/>
      <c r="E451" s="84"/>
      <c r="F451" s="93"/>
      <c r="G451" s="52"/>
      <c r="H451" s="106"/>
      <c r="I451" s="106"/>
      <c r="J451" s="106"/>
      <c r="K451" s="103"/>
      <c r="L451" s="107"/>
      <c r="M451" s="12" t="b">
        <f t="shared" si="7"/>
        <v>0</v>
      </c>
    </row>
    <row r="452" spans="2:13" ht="22.5">
      <c r="B452" s="26">
        <v>440</v>
      </c>
      <c r="C452" s="54"/>
      <c r="D452" s="46"/>
      <c r="E452" s="84"/>
      <c r="F452" s="93"/>
      <c r="G452" s="52"/>
      <c r="H452" s="106"/>
      <c r="I452" s="106"/>
      <c r="J452" s="106"/>
      <c r="K452" s="103"/>
      <c r="L452" s="107"/>
      <c r="M452" s="12" t="b">
        <f t="shared" si="7"/>
        <v>0</v>
      </c>
    </row>
    <row r="453" spans="2:13" ht="22.5">
      <c r="B453" s="26">
        <v>441</v>
      </c>
      <c r="C453" s="54"/>
      <c r="D453" s="46"/>
      <c r="E453" s="84"/>
      <c r="F453" s="93"/>
      <c r="G453" s="52"/>
      <c r="H453" s="106"/>
      <c r="I453" s="106"/>
      <c r="J453" s="106"/>
      <c r="K453" s="103"/>
      <c r="L453" s="107"/>
      <c r="M453" s="12" t="b">
        <f t="shared" si="7"/>
        <v>0</v>
      </c>
    </row>
    <row r="454" spans="2:13" ht="22.5">
      <c r="B454" s="26">
        <v>442</v>
      </c>
      <c r="C454" s="54"/>
      <c r="D454" s="46"/>
      <c r="E454" s="84"/>
      <c r="F454" s="93"/>
      <c r="G454" s="52"/>
      <c r="H454" s="106"/>
      <c r="I454" s="106"/>
      <c r="J454" s="106"/>
      <c r="K454" s="103"/>
      <c r="L454" s="107"/>
      <c r="M454" s="12" t="b">
        <f t="shared" si="7"/>
        <v>0</v>
      </c>
    </row>
    <row r="455" spans="2:13" ht="22.5">
      <c r="B455" s="26">
        <v>443</v>
      </c>
      <c r="C455" s="54"/>
      <c r="D455" s="46"/>
      <c r="E455" s="84"/>
      <c r="F455" s="93"/>
      <c r="G455" s="52"/>
      <c r="H455" s="106"/>
      <c r="I455" s="106"/>
      <c r="J455" s="106"/>
      <c r="K455" s="103"/>
      <c r="L455" s="107"/>
      <c r="M455" s="12" t="b">
        <f t="shared" si="7"/>
        <v>0</v>
      </c>
    </row>
    <row r="456" spans="2:13" ht="22.5">
      <c r="B456" s="26">
        <v>444</v>
      </c>
      <c r="C456" s="54"/>
      <c r="D456" s="46"/>
      <c r="E456" s="84"/>
      <c r="F456" s="93"/>
      <c r="G456" s="52"/>
      <c r="H456" s="106"/>
      <c r="I456" s="106"/>
      <c r="J456" s="106"/>
      <c r="K456" s="103"/>
      <c r="L456" s="107"/>
      <c r="M456" s="12" t="b">
        <f t="shared" si="7"/>
        <v>0</v>
      </c>
    </row>
    <row r="457" spans="2:13" ht="22.5">
      <c r="B457" s="26">
        <v>445</v>
      </c>
      <c r="C457" s="54"/>
      <c r="D457" s="46"/>
      <c r="E457" s="84"/>
      <c r="F457" s="93"/>
      <c r="G457" s="52"/>
      <c r="H457" s="106"/>
      <c r="I457" s="106"/>
      <c r="J457" s="106"/>
      <c r="K457" s="103"/>
      <c r="L457" s="107"/>
      <c r="M457" s="12" t="b">
        <f t="shared" si="7"/>
        <v>0</v>
      </c>
    </row>
    <row r="458" spans="2:13" ht="22.5">
      <c r="B458" s="26">
        <v>446</v>
      </c>
      <c r="C458" s="54"/>
      <c r="D458" s="46"/>
      <c r="E458" s="84"/>
      <c r="F458" s="93"/>
      <c r="G458" s="52"/>
      <c r="H458" s="106"/>
      <c r="I458" s="106"/>
      <c r="J458" s="106"/>
      <c r="K458" s="103"/>
      <c r="L458" s="107"/>
      <c r="M458" s="12" t="b">
        <f t="shared" si="7"/>
        <v>0</v>
      </c>
    </row>
    <row r="459" spans="2:13" ht="22.5">
      <c r="B459" s="26">
        <v>447</v>
      </c>
      <c r="C459" s="54"/>
      <c r="D459" s="46"/>
      <c r="E459" s="84"/>
      <c r="F459" s="93"/>
      <c r="G459" s="52"/>
      <c r="H459" s="106"/>
      <c r="I459" s="106"/>
      <c r="J459" s="106"/>
      <c r="K459" s="103"/>
      <c r="L459" s="107"/>
      <c r="M459" s="12" t="b">
        <f t="shared" si="7"/>
        <v>0</v>
      </c>
    </row>
    <row r="460" spans="2:13" ht="22.5">
      <c r="B460" s="26">
        <v>448</v>
      </c>
      <c r="C460" s="54"/>
      <c r="D460" s="46"/>
      <c r="E460" s="84"/>
      <c r="F460" s="93"/>
      <c r="G460" s="52"/>
      <c r="H460" s="106"/>
      <c r="I460" s="106"/>
      <c r="J460" s="106"/>
      <c r="K460" s="103"/>
      <c r="L460" s="107"/>
      <c r="M460" s="12" t="b">
        <f t="shared" si="7"/>
        <v>0</v>
      </c>
    </row>
    <row r="461" spans="2:13" ht="22.5">
      <c r="B461" s="26">
        <v>449</v>
      </c>
      <c r="C461" s="54"/>
      <c r="D461" s="46"/>
      <c r="E461" s="84"/>
      <c r="F461" s="93"/>
      <c r="G461" s="52"/>
      <c r="H461" s="106"/>
      <c r="I461" s="106"/>
      <c r="J461" s="106"/>
      <c r="K461" s="103"/>
      <c r="L461" s="107"/>
      <c r="M461" s="12" t="b">
        <f t="shared" ref="M461:M512" si="8">IF(COUNTA(E461:G461)=0,FALSE,TRUE)</f>
        <v>0</v>
      </c>
    </row>
    <row r="462" spans="2:13" ht="22.5">
      <c r="B462" s="26">
        <v>450</v>
      </c>
      <c r="C462" s="54"/>
      <c r="D462" s="46"/>
      <c r="E462" s="84"/>
      <c r="F462" s="93"/>
      <c r="G462" s="52"/>
      <c r="H462" s="106"/>
      <c r="I462" s="106"/>
      <c r="J462" s="106"/>
      <c r="K462" s="103"/>
      <c r="L462" s="107"/>
      <c r="M462" s="12" t="b">
        <f t="shared" si="8"/>
        <v>0</v>
      </c>
    </row>
    <row r="463" spans="2:13" ht="22.5">
      <c r="B463" s="26">
        <v>451</v>
      </c>
      <c r="C463" s="54"/>
      <c r="D463" s="46"/>
      <c r="E463" s="84"/>
      <c r="F463" s="93"/>
      <c r="G463" s="52"/>
      <c r="H463" s="106"/>
      <c r="I463" s="106"/>
      <c r="J463" s="106"/>
      <c r="K463" s="103"/>
      <c r="L463" s="107"/>
      <c r="M463" s="12" t="b">
        <f t="shared" si="8"/>
        <v>0</v>
      </c>
    </row>
    <row r="464" spans="2:13" ht="22.5">
      <c r="B464" s="26">
        <v>452</v>
      </c>
      <c r="C464" s="54"/>
      <c r="D464" s="46"/>
      <c r="E464" s="84"/>
      <c r="F464" s="93"/>
      <c r="G464" s="52"/>
      <c r="H464" s="106"/>
      <c r="I464" s="106"/>
      <c r="J464" s="106"/>
      <c r="K464" s="103"/>
      <c r="L464" s="107"/>
      <c r="M464" s="12" t="b">
        <f t="shared" si="8"/>
        <v>0</v>
      </c>
    </row>
    <row r="465" spans="2:13" ht="22.5">
      <c r="B465" s="26">
        <v>453</v>
      </c>
      <c r="C465" s="54"/>
      <c r="D465" s="46"/>
      <c r="E465" s="84"/>
      <c r="F465" s="93"/>
      <c r="G465" s="52"/>
      <c r="H465" s="106"/>
      <c r="I465" s="106"/>
      <c r="J465" s="106"/>
      <c r="K465" s="103"/>
      <c r="L465" s="107"/>
      <c r="M465" s="12" t="b">
        <f t="shared" si="8"/>
        <v>0</v>
      </c>
    </row>
    <row r="466" spans="2:13" ht="22.5">
      <c r="B466" s="26">
        <v>454</v>
      </c>
      <c r="C466" s="54"/>
      <c r="D466" s="46"/>
      <c r="E466" s="84"/>
      <c r="F466" s="93"/>
      <c r="G466" s="52"/>
      <c r="H466" s="106"/>
      <c r="I466" s="106"/>
      <c r="J466" s="106"/>
      <c r="K466" s="103"/>
      <c r="L466" s="107"/>
      <c r="M466" s="12" t="b">
        <f t="shared" si="8"/>
        <v>0</v>
      </c>
    </row>
    <row r="467" spans="2:13" ht="22.5">
      <c r="B467" s="26">
        <v>455</v>
      </c>
      <c r="C467" s="54"/>
      <c r="D467" s="46"/>
      <c r="E467" s="84"/>
      <c r="F467" s="93"/>
      <c r="G467" s="52"/>
      <c r="H467" s="106"/>
      <c r="I467" s="106"/>
      <c r="J467" s="106"/>
      <c r="K467" s="103"/>
      <c r="L467" s="107"/>
      <c r="M467" s="12" t="b">
        <f t="shared" si="8"/>
        <v>0</v>
      </c>
    </row>
    <row r="468" spans="2:13" ht="22.5">
      <c r="B468" s="26">
        <v>456</v>
      </c>
      <c r="C468" s="54"/>
      <c r="D468" s="46"/>
      <c r="E468" s="84"/>
      <c r="F468" s="93"/>
      <c r="G468" s="52"/>
      <c r="H468" s="106"/>
      <c r="I468" s="106"/>
      <c r="J468" s="106"/>
      <c r="K468" s="103"/>
      <c r="L468" s="107"/>
      <c r="M468" s="12" t="b">
        <f t="shared" si="8"/>
        <v>0</v>
      </c>
    </row>
    <row r="469" spans="2:13" ht="22.5">
      <c r="B469" s="26">
        <v>457</v>
      </c>
      <c r="C469" s="54"/>
      <c r="D469" s="46"/>
      <c r="E469" s="84"/>
      <c r="F469" s="93"/>
      <c r="G469" s="52"/>
      <c r="H469" s="106"/>
      <c r="I469" s="106"/>
      <c r="J469" s="106"/>
      <c r="K469" s="103"/>
      <c r="L469" s="107"/>
      <c r="M469" s="12" t="b">
        <f t="shared" si="8"/>
        <v>0</v>
      </c>
    </row>
    <row r="470" spans="2:13" ht="22.5">
      <c r="B470" s="26">
        <v>458</v>
      </c>
      <c r="C470" s="54"/>
      <c r="D470" s="46"/>
      <c r="E470" s="84"/>
      <c r="F470" s="93"/>
      <c r="G470" s="52"/>
      <c r="H470" s="106"/>
      <c r="I470" s="106"/>
      <c r="J470" s="106"/>
      <c r="K470" s="103"/>
      <c r="L470" s="107"/>
      <c r="M470" s="12" t="b">
        <f t="shared" si="8"/>
        <v>0</v>
      </c>
    </row>
    <row r="471" spans="2:13" ht="22.5">
      <c r="B471" s="26">
        <v>459</v>
      </c>
      <c r="C471" s="54"/>
      <c r="D471" s="46"/>
      <c r="E471" s="84"/>
      <c r="F471" s="93"/>
      <c r="G471" s="52"/>
      <c r="H471" s="106"/>
      <c r="I471" s="106"/>
      <c r="J471" s="106"/>
      <c r="K471" s="103"/>
      <c r="L471" s="107"/>
      <c r="M471" s="12" t="b">
        <f t="shared" si="8"/>
        <v>0</v>
      </c>
    </row>
    <row r="472" spans="2:13" ht="22.5">
      <c r="B472" s="26">
        <v>460</v>
      </c>
      <c r="C472" s="54"/>
      <c r="D472" s="46"/>
      <c r="E472" s="84"/>
      <c r="F472" s="93"/>
      <c r="G472" s="52"/>
      <c r="H472" s="106"/>
      <c r="I472" s="106"/>
      <c r="J472" s="106"/>
      <c r="K472" s="103"/>
      <c r="L472" s="107"/>
      <c r="M472" s="12" t="b">
        <f t="shared" si="8"/>
        <v>0</v>
      </c>
    </row>
    <row r="473" spans="2:13" ht="22.5">
      <c r="B473" s="26">
        <v>461</v>
      </c>
      <c r="C473" s="54"/>
      <c r="D473" s="46"/>
      <c r="E473" s="84"/>
      <c r="F473" s="93"/>
      <c r="G473" s="52"/>
      <c r="H473" s="106"/>
      <c r="I473" s="106"/>
      <c r="J473" s="106"/>
      <c r="K473" s="103"/>
      <c r="L473" s="107"/>
      <c r="M473" s="12" t="b">
        <f t="shared" si="8"/>
        <v>0</v>
      </c>
    </row>
    <row r="474" spans="2:13" ht="22.5">
      <c r="B474" s="26">
        <v>462</v>
      </c>
      <c r="C474" s="54"/>
      <c r="D474" s="46"/>
      <c r="E474" s="84"/>
      <c r="F474" s="93"/>
      <c r="G474" s="52"/>
      <c r="H474" s="106"/>
      <c r="I474" s="106"/>
      <c r="J474" s="106"/>
      <c r="K474" s="103"/>
      <c r="L474" s="107"/>
      <c r="M474" s="12" t="b">
        <f t="shared" si="8"/>
        <v>0</v>
      </c>
    </row>
    <row r="475" spans="2:13" ht="22.5">
      <c r="B475" s="26">
        <v>463</v>
      </c>
      <c r="C475" s="54"/>
      <c r="D475" s="46"/>
      <c r="E475" s="84"/>
      <c r="F475" s="93"/>
      <c r="G475" s="52"/>
      <c r="H475" s="106"/>
      <c r="I475" s="106"/>
      <c r="J475" s="106"/>
      <c r="K475" s="103"/>
      <c r="L475" s="107"/>
      <c r="M475" s="12" t="b">
        <f t="shared" si="8"/>
        <v>0</v>
      </c>
    </row>
    <row r="476" spans="2:13" ht="22.5">
      <c r="B476" s="26">
        <v>464</v>
      </c>
      <c r="C476" s="54"/>
      <c r="D476" s="46"/>
      <c r="E476" s="84"/>
      <c r="F476" s="93"/>
      <c r="G476" s="52"/>
      <c r="H476" s="106"/>
      <c r="I476" s="106"/>
      <c r="J476" s="106"/>
      <c r="K476" s="103"/>
      <c r="L476" s="107"/>
      <c r="M476" s="12" t="b">
        <f t="shared" si="8"/>
        <v>0</v>
      </c>
    </row>
    <row r="477" spans="2:13" ht="22.5">
      <c r="B477" s="26">
        <v>465</v>
      </c>
      <c r="C477" s="54"/>
      <c r="D477" s="46"/>
      <c r="E477" s="84"/>
      <c r="F477" s="93"/>
      <c r="G477" s="52"/>
      <c r="H477" s="106"/>
      <c r="I477" s="106"/>
      <c r="J477" s="106"/>
      <c r="K477" s="103"/>
      <c r="L477" s="107"/>
      <c r="M477" s="12" t="b">
        <f t="shared" si="8"/>
        <v>0</v>
      </c>
    </row>
    <row r="478" spans="2:13" ht="22.5">
      <c r="B478" s="26">
        <v>466</v>
      </c>
      <c r="C478" s="54"/>
      <c r="D478" s="46"/>
      <c r="E478" s="84"/>
      <c r="F478" s="93"/>
      <c r="G478" s="52"/>
      <c r="H478" s="106"/>
      <c r="I478" s="106"/>
      <c r="J478" s="106"/>
      <c r="K478" s="103"/>
      <c r="L478" s="107"/>
      <c r="M478" s="12" t="b">
        <f t="shared" si="8"/>
        <v>0</v>
      </c>
    </row>
    <row r="479" spans="2:13" ht="22.5">
      <c r="B479" s="26">
        <v>467</v>
      </c>
      <c r="C479" s="54"/>
      <c r="D479" s="46"/>
      <c r="E479" s="84"/>
      <c r="F479" s="93"/>
      <c r="G479" s="52"/>
      <c r="H479" s="106"/>
      <c r="I479" s="106"/>
      <c r="J479" s="106"/>
      <c r="K479" s="103"/>
      <c r="L479" s="107"/>
      <c r="M479" s="12" t="b">
        <f t="shared" si="8"/>
        <v>0</v>
      </c>
    </row>
    <row r="480" spans="2:13" ht="22.5">
      <c r="B480" s="26">
        <v>468</v>
      </c>
      <c r="C480" s="54"/>
      <c r="D480" s="46"/>
      <c r="E480" s="84"/>
      <c r="F480" s="93"/>
      <c r="G480" s="52"/>
      <c r="H480" s="106"/>
      <c r="I480" s="106"/>
      <c r="J480" s="106"/>
      <c r="K480" s="103"/>
      <c r="L480" s="107"/>
      <c r="M480" s="12" t="b">
        <f t="shared" si="8"/>
        <v>0</v>
      </c>
    </row>
    <row r="481" spans="2:13" ht="22.5">
      <c r="B481" s="26">
        <v>469</v>
      </c>
      <c r="C481" s="54"/>
      <c r="D481" s="46"/>
      <c r="E481" s="84"/>
      <c r="F481" s="93"/>
      <c r="G481" s="52"/>
      <c r="H481" s="106"/>
      <c r="I481" s="106"/>
      <c r="J481" s="106"/>
      <c r="K481" s="103"/>
      <c r="L481" s="107"/>
      <c r="M481" s="12" t="b">
        <f t="shared" si="8"/>
        <v>0</v>
      </c>
    </row>
    <row r="482" spans="2:13" ht="22.5">
      <c r="B482" s="26">
        <v>470</v>
      </c>
      <c r="C482" s="54"/>
      <c r="D482" s="46"/>
      <c r="E482" s="84"/>
      <c r="F482" s="93"/>
      <c r="G482" s="52"/>
      <c r="H482" s="106"/>
      <c r="I482" s="106"/>
      <c r="J482" s="106"/>
      <c r="K482" s="103"/>
      <c r="L482" s="107"/>
      <c r="M482" s="12" t="b">
        <f t="shared" si="8"/>
        <v>0</v>
      </c>
    </row>
    <row r="483" spans="2:13" ht="22.5">
      <c r="B483" s="26">
        <v>471</v>
      </c>
      <c r="C483" s="54"/>
      <c r="D483" s="46"/>
      <c r="E483" s="84"/>
      <c r="F483" s="93"/>
      <c r="G483" s="52"/>
      <c r="H483" s="106"/>
      <c r="I483" s="106"/>
      <c r="J483" s="106"/>
      <c r="K483" s="103"/>
      <c r="L483" s="107"/>
      <c r="M483" s="12" t="b">
        <f t="shared" si="8"/>
        <v>0</v>
      </c>
    </row>
    <row r="484" spans="2:13" ht="22.5">
      <c r="B484" s="26">
        <v>472</v>
      </c>
      <c r="C484" s="54"/>
      <c r="D484" s="46"/>
      <c r="E484" s="84"/>
      <c r="F484" s="93"/>
      <c r="G484" s="52"/>
      <c r="H484" s="106"/>
      <c r="I484" s="106"/>
      <c r="J484" s="106"/>
      <c r="K484" s="103"/>
      <c r="L484" s="107"/>
      <c r="M484" s="12" t="b">
        <f t="shared" si="8"/>
        <v>0</v>
      </c>
    </row>
    <row r="485" spans="2:13" ht="22.5">
      <c r="B485" s="26">
        <v>473</v>
      </c>
      <c r="C485" s="54"/>
      <c r="D485" s="46"/>
      <c r="E485" s="84"/>
      <c r="F485" s="93"/>
      <c r="G485" s="52"/>
      <c r="H485" s="106"/>
      <c r="I485" s="106"/>
      <c r="J485" s="106"/>
      <c r="K485" s="103"/>
      <c r="L485" s="107"/>
      <c r="M485" s="12" t="b">
        <f t="shared" si="8"/>
        <v>0</v>
      </c>
    </row>
    <row r="486" spans="2:13" ht="22.5">
      <c r="B486" s="26">
        <v>474</v>
      </c>
      <c r="C486" s="54"/>
      <c r="D486" s="46"/>
      <c r="E486" s="84"/>
      <c r="F486" s="93"/>
      <c r="G486" s="52"/>
      <c r="H486" s="106"/>
      <c r="I486" s="106"/>
      <c r="J486" s="106"/>
      <c r="K486" s="103"/>
      <c r="L486" s="107"/>
      <c r="M486" s="12" t="b">
        <f t="shared" si="8"/>
        <v>0</v>
      </c>
    </row>
    <row r="487" spans="2:13" ht="22.5">
      <c r="B487" s="26">
        <v>475</v>
      </c>
      <c r="C487" s="54"/>
      <c r="D487" s="46"/>
      <c r="E487" s="84"/>
      <c r="F487" s="93"/>
      <c r="G487" s="52"/>
      <c r="H487" s="106"/>
      <c r="I487" s="106"/>
      <c r="J487" s="106"/>
      <c r="K487" s="103"/>
      <c r="L487" s="107"/>
      <c r="M487" s="12" t="b">
        <f t="shared" si="8"/>
        <v>0</v>
      </c>
    </row>
    <row r="488" spans="2:13" ht="22.5">
      <c r="B488" s="26">
        <v>476</v>
      </c>
      <c r="C488" s="54"/>
      <c r="D488" s="46"/>
      <c r="E488" s="84"/>
      <c r="F488" s="93"/>
      <c r="G488" s="52"/>
      <c r="H488" s="106"/>
      <c r="I488" s="106"/>
      <c r="J488" s="106"/>
      <c r="K488" s="103"/>
      <c r="L488" s="107"/>
      <c r="M488" s="12" t="b">
        <f t="shared" si="8"/>
        <v>0</v>
      </c>
    </row>
    <row r="489" spans="2:13" ht="22.5">
      <c r="B489" s="26">
        <v>477</v>
      </c>
      <c r="C489" s="54"/>
      <c r="D489" s="46"/>
      <c r="E489" s="84"/>
      <c r="F489" s="93"/>
      <c r="G489" s="52"/>
      <c r="H489" s="106"/>
      <c r="I489" s="106"/>
      <c r="J489" s="106"/>
      <c r="K489" s="103"/>
      <c r="L489" s="107"/>
      <c r="M489" s="12" t="b">
        <f t="shared" si="8"/>
        <v>0</v>
      </c>
    </row>
    <row r="490" spans="2:13" ht="22.5">
      <c r="B490" s="26">
        <v>478</v>
      </c>
      <c r="C490" s="54"/>
      <c r="D490" s="46"/>
      <c r="E490" s="84"/>
      <c r="F490" s="93"/>
      <c r="G490" s="52"/>
      <c r="H490" s="106"/>
      <c r="I490" s="106"/>
      <c r="J490" s="106"/>
      <c r="K490" s="103"/>
      <c r="L490" s="107"/>
      <c r="M490" s="12" t="b">
        <f t="shared" si="8"/>
        <v>0</v>
      </c>
    </row>
    <row r="491" spans="2:13" ht="22.5">
      <c r="B491" s="26">
        <v>479</v>
      </c>
      <c r="C491" s="54"/>
      <c r="D491" s="46"/>
      <c r="E491" s="84"/>
      <c r="F491" s="93"/>
      <c r="G491" s="52"/>
      <c r="H491" s="106"/>
      <c r="I491" s="106"/>
      <c r="J491" s="106"/>
      <c r="K491" s="103"/>
      <c r="L491" s="107"/>
      <c r="M491" s="12" t="b">
        <f t="shared" si="8"/>
        <v>0</v>
      </c>
    </row>
    <row r="492" spans="2:13" ht="22.5">
      <c r="B492" s="26">
        <v>480</v>
      </c>
      <c r="C492" s="54"/>
      <c r="D492" s="46"/>
      <c r="E492" s="84"/>
      <c r="F492" s="93"/>
      <c r="G492" s="52"/>
      <c r="H492" s="106"/>
      <c r="I492" s="106"/>
      <c r="J492" s="106"/>
      <c r="K492" s="103"/>
      <c r="L492" s="107"/>
      <c r="M492" s="12" t="b">
        <f t="shared" si="8"/>
        <v>0</v>
      </c>
    </row>
    <row r="493" spans="2:13" ht="22.5">
      <c r="B493" s="26">
        <v>481</v>
      </c>
      <c r="C493" s="54"/>
      <c r="D493" s="46"/>
      <c r="E493" s="84"/>
      <c r="F493" s="93"/>
      <c r="G493" s="52"/>
      <c r="H493" s="106"/>
      <c r="I493" s="106"/>
      <c r="J493" s="106"/>
      <c r="K493" s="103"/>
      <c r="L493" s="107"/>
      <c r="M493" s="12" t="b">
        <f t="shared" si="8"/>
        <v>0</v>
      </c>
    </row>
    <row r="494" spans="2:13" ht="22.5">
      <c r="B494" s="26">
        <v>482</v>
      </c>
      <c r="C494" s="54"/>
      <c r="D494" s="46"/>
      <c r="E494" s="84"/>
      <c r="F494" s="93"/>
      <c r="G494" s="52"/>
      <c r="H494" s="106"/>
      <c r="I494" s="106"/>
      <c r="J494" s="106"/>
      <c r="K494" s="103"/>
      <c r="L494" s="107"/>
      <c r="M494" s="12" t="b">
        <f t="shared" si="8"/>
        <v>0</v>
      </c>
    </row>
    <row r="495" spans="2:13" ht="22.5">
      <c r="B495" s="26">
        <v>483</v>
      </c>
      <c r="C495" s="54"/>
      <c r="D495" s="46"/>
      <c r="E495" s="84"/>
      <c r="F495" s="93"/>
      <c r="G495" s="52"/>
      <c r="H495" s="106"/>
      <c r="I495" s="106"/>
      <c r="J495" s="106"/>
      <c r="K495" s="103"/>
      <c r="L495" s="107"/>
      <c r="M495" s="12" t="b">
        <f t="shared" si="8"/>
        <v>0</v>
      </c>
    </row>
    <row r="496" spans="2:13" ht="22.5">
      <c r="B496" s="26">
        <v>484</v>
      </c>
      <c r="C496" s="54"/>
      <c r="D496" s="46"/>
      <c r="E496" s="84"/>
      <c r="F496" s="93"/>
      <c r="G496" s="52"/>
      <c r="H496" s="106"/>
      <c r="I496" s="106"/>
      <c r="J496" s="106"/>
      <c r="K496" s="103"/>
      <c r="L496" s="107"/>
      <c r="M496" s="12" t="b">
        <f t="shared" si="8"/>
        <v>0</v>
      </c>
    </row>
    <row r="497" spans="2:13" ht="22.5">
      <c r="B497" s="26">
        <v>485</v>
      </c>
      <c r="C497" s="54"/>
      <c r="D497" s="46"/>
      <c r="E497" s="84"/>
      <c r="F497" s="93"/>
      <c r="G497" s="52"/>
      <c r="H497" s="106"/>
      <c r="I497" s="106"/>
      <c r="J497" s="106"/>
      <c r="K497" s="103"/>
      <c r="L497" s="107"/>
      <c r="M497" s="12" t="b">
        <f t="shared" si="8"/>
        <v>0</v>
      </c>
    </row>
    <row r="498" spans="2:13" ht="22.5">
      <c r="B498" s="26">
        <v>486</v>
      </c>
      <c r="C498" s="54"/>
      <c r="D498" s="46"/>
      <c r="E498" s="84"/>
      <c r="F498" s="93"/>
      <c r="G498" s="52"/>
      <c r="H498" s="106"/>
      <c r="I498" s="106"/>
      <c r="J498" s="106"/>
      <c r="K498" s="103"/>
      <c r="L498" s="107"/>
      <c r="M498" s="12" t="b">
        <f t="shared" si="8"/>
        <v>0</v>
      </c>
    </row>
    <row r="499" spans="2:13" ht="22.5">
      <c r="B499" s="26">
        <v>487</v>
      </c>
      <c r="C499" s="54"/>
      <c r="D499" s="46"/>
      <c r="E499" s="84"/>
      <c r="F499" s="93"/>
      <c r="G499" s="52"/>
      <c r="H499" s="106"/>
      <c r="I499" s="106"/>
      <c r="J499" s="106"/>
      <c r="K499" s="103"/>
      <c r="L499" s="107"/>
      <c r="M499" s="12" t="b">
        <f t="shared" si="8"/>
        <v>0</v>
      </c>
    </row>
    <row r="500" spans="2:13" ht="22.5">
      <c r="B500" s="26">
        <v>488</v>
      </c>
      <c r="C500" s="54"/>
      <c r="D500" s="46"/>
      <c r="E500" s="84"/>
      <c r="F500" s="93"/>
      <c r="G500" s="52"/>
      <c r="H500" s="106"/>
      <c r="I500" s="106"/>
      <c r="J500" s="106"/>
      <c r="K500" s="103"/>
      <c r="L500" s="107"/>
      <c r="M500" s="12" t="b">
        <f t="shared" si="8"/>
        <v>0</v>
      </c>
    </row>
    <row r="501" spans="2:13" ht="22.5">
      <c r="B501" s="26">
        <v>489</v>
      </c>
      <c r="C501" s="54"/>
      <c r="D501" s="46"/>
      <c r="E501" s="84"/>
      <c r="F501" s="93"/>
      <c r="G501" s="52"/>
      <c r="H501" s="106"/>
      <c r="I501" s="106"/>
      <c r="J501" s="106"/>
      <c r="K501" s="103"/>
      <c r="L501" s="107"/>
      <c r="M501" s="12" t="b">
        <f t="shared" si="8"/>
        <v>0</v>
      </c>
    </row>
    <row r="502" spans="2:13" ht="22.5">
      <c r="B502" s="26">
        <v>490</v>
      </c>
      <c r="C502" s="54"/>
      <c r="D502" s="46"/>
      <c r="E502" s="84"/>
      <c r="F502" s="93"/>
      <c r="G502" s="52"/>
      <c r="H502" s="106"/>
      <c r="I502" s="106"/>
      <c r="J502" s="106"/>
      <c r="K502" s="103"/>
      <c r="L502" s="107"/>
      <c r="M502" s="12" t="b">
        <f t="shared" si="8"/>
        <v>0</v>
      </c>
    </row>
    <row r="503" spans="2:13" ht="22.5">
      <c r="B503" s="26">
        <v>491</v>
      </c>
      <c r="C503" s="54"/>
      <c r="D503" s="46"/>
      <c r="E503" s="84"/>
      <c r="F503" s="93"/>
      <c r="G503" s="52"/>
      <c r="H503" s="106"/>
      <c r="I503" s="106"/>
      <c r="J503" s="106"/>
      <c r="K503" s="103"/>
      <c r="L503" s="107"/>
      <c r="M503" s="12" t="b">
        <f t="shared" si="8"/>
        <v>0</v>
      </c>
    </row>
    <row r="504" spans="2:13" ht="22.5">
      <c r="B504" s="26">
        <v>492</v>
      </c>
      <c r="C504" s="54"/>
      <c r="D504" s="46"/>
      <c r="E504" s="84"/>
      <c r="F504" s="93"/>
      <c r="G504" s="52"/>
      <c r="H504" s="106"/>
      <c r="I504" s="106"/>
      <c r="J504" s="106"/>
      <c r="K504" s="103"/>
      <c r="L504" s="107"/>
      <c r="M504" s="12" t="b">
        <f t="shared" si="8"/>
        <v>0</v>
      </c>
    </row>
    <row r="505" spans="2:13" ht="22.5">
      <c r="B505" s="26">
        <v>493</v>
      </c>
      <c r="C505" s="54"/>
      <c r="D505" s="46"/>
      <c r="E505" s="84"/>
      <c r="F505" s="93"/>
      <c r="G505" s="52"/>
      <c r="H505" s="106"/>
      <c r="I505" s="106"/>
      <c r="J505" s="106"/>
      <c r="K505" s="103"/>
      <c r="L505" s="107"/>
      <c r="M505" s="12" t="b">
        <f t="shared" si="8"/>
        <v>0</v>
      </c>
    </row>
    <row r="506" spans="2:13" ht="22.5">
      <c r="B506" s="26">
        <v>494</v>
      </c>
      <c r="C506" s="54"/>
      <c r="D506" s="46"/>
      <c r="E506" s="84"/>
      <c r="F506" s="93"/>
      <c r="G506" s="52"/>
      <c r="H506" s="106"/>
      <c r="I506" s="106"/>
      <c r="J506" s="106"/>
      <c r="K506" s="103"/>
      <c r="L506" s="107"/>
      <c r="M506" s="12" t="b">
        <f t="shared" si="8"/>
        <v>0</v>
      </c>
    </row>
    <row r="507" spans="2:13" ht="22.5">
      <c r="B507" s="26">
        <v>495</v>
      </c>
      <c r="C507" s="54"/>
      <c r="D507" s="46"/>
      <c r="E507" s="84"/>
      <c r="F507" s="93"/>
      <c r="G507" s="52"/>
      <c r="H507" s="106"/>
      <c r="I507" s="106"/>
      <c r="J507" s="106"/>
      <c r="K507" s="103"/>
      <c r="L507" s="107"/>
      <c r="M507" s="12" t="b">
        <f t="shared" si="8"/>
        <v>0</v>
      </c>
    </row>
    <row r="508" spans="2:13" ht="22.5">
      <c r="B508" s="26">
        <v>496</v>
      </c>
      <c r="C508" s="54"/>
      <c r="D508" s="46"/>
      <c r="E508" s="84"/>
      <c r="F508" s="93"/>
      <c r="G508" s="52"/>
      <c r="H508" s="106"/>
      <c r="I508" s="106"/>
      <c r="J508" s="106"/>
      <c r="K508" s="103"/>
      <c r="L508" s="107"/>
      <c r="M508" s="12" t="b">
        <f t="shared" si="8"/>
        <v>0</v>
      </c>
    </row>
    <row r="509" spans="2:13" ht="22.5">
      <c r="B509" s="26">
        <v>497</v>
      </c>
      <c r="C509" s="54"/>
      <c r="D509" s="46"/>
      <c r="E509" s="84"/>
      <c r="F509" s="93"/>
      <c r="G509" s="52"/>
      <c r="H509" s="106"/>
      <c r="I509" s="106"/>
      <c r="J509" s="106"/>
      <c r="K509" s="103"/>
      <c r="L509" s="107"/>
      <c r="M509" s="12" t="b">
        <f t="shared" si="8"/>
        <v>0</v>
      </c>
    </row>
    <row r="510" spans="2:13" ht="22.5">
      <c r="B510" s="26">
        <v>498</v>
      </c>
      <c r="C510" s="54"/>
      <c r="D510" s="46"/>
      <c r="E510" s="84"/>
      <c r="F510" s="93"/>
      <c r="G510" s="52"/>
      <c r="H510" s="106"/>
      <c r="I510" s="106"/>
      <c r="J510" s="106"/>
      <c r="K510" s="103"/>
      <c r="L510" s="107"/>
      <c r="M510" s="12" t="b">
        <f t="shared" si="8"/>
        <v>0</v>
      </c>
    </row>
    <row r="511" spans="2:13" ht="22.5">
      <c r="B511" s="26">
        <v>499</v>
      </c>
      <c r="C511" s="54"/>
      <c r="D511" s="46"/>
      <c r="E511" s="84"/>
      <c r="F511" s="93"/>
      <c r="G511" s="52"/>
      <c r="H511" s="106"/>
      <c r="I511" s="106"/>
      <c r="J511" s="106"/>
      <c r="K511" s="103"/>
      <c r="L511" s="107"/>
      <c r="M511" s="12" t="b">
        <f t="shared" si="8"/>
        <v>0</v>
      </c>
    </row>
    <row r="512" spans="2:13" ht="23.25" thickBot="1">
      <c r="B512" s="27">
        <v>500</v>
      </c>
      <c r="C512" s="55"/>
      <c r="D512" s="48"/>
      <c r="E512" s="87"/>
      <c r="F512" s="94"/>
      <c r="G512" s="53"/>
      <c r="H512" s="108"/>
      <c r="I512" s="108"/>
      <c r="J512" s="108"/>
      <c r="K512" s="109"/>
      <c r="L512" s="110"/>
      <c r="M512" s="12" t="b">
        <f t="shared" si="8"/>
        <v>0</v>
      </c>
    </row>
  </sheetData>
  <sheetProtection algorithmName="SHA-512" hashValue="6l7ylHoPgyQ9azWaXZEih6BMCcM7wWW3phnmVUKApL6ZVqn8V4/5dGbg1tAimcPYKT4Qxlxm6/wtz9wE6m22sw==" saltValue="nAXzN6R8tRo45MMwuaERZg==" spinCount="100000" sheet="1" objects="1" scenarios="1" selectLockedCells="1"/>
  <mergeCells count="6">
    <mergeCell ref="H8:I8"/>
    <mergeCell ref="K8:L8"/>
    <mergeCell ref="H9:I9"/>
    <mergeCell ref="E2:S2"/>
    <mergeCell ref="E4:S4"/>
    <mergeCell ref="E6:S6"/>
  </mergeCells>
  <phoneticPr fontId="1"/>
  <conditionalFormatting sqref="G13:G512">
    <cfRule type="expression" dxfId="9" priority="5" stopIfTrue="1">
      <formula>ISNUMBER($D13)</formula>
    </cfRule>
  </conditionalFormatting>
  <conditionalFormatting sqref="H13:H512">
    <cfRule type="expression" dxfId="8" priority="6">
      <formula>AND($D13=1,$H13="")</formula>
    </cfRule>
  </conditionalFormatting>
  <conditionalFormatting sqref="H13:J512">
    <cfRule type="expression" dxfId="7" priority="4">
      <formula>$D13&lt;&gt;1</formula>
    </cfRule>
  </conditionalFormatting>
  <conditionalFormatting sqref="I13:I512">
    <cfRule type="expression" dxfId="6" priority="7">
      <formula>AND(($H13="既存コードに追加"),($I13=""))</formula>
    </cfRule>
    <cfRule type="expression" dxfId="5" priority="8">
      <formula>$H13="新規払い出し"</formula>
    </cfRule>
  </conditionalFormatting>
  <conditionalFormatting sqref="J13:J512">
    <cfRule type="expression" dxfId="4" priority="9">
      <formula>AND($D13=1,$J13="")</formula>
    </cfRule>
  </conditionalFormatting>
  <conditionalFormatting sqref="K13:K512">
    <cfRule type="expression" dxfId="3" priority="10">
      <formula>AND(($D13=2),($K13=""))</formula>
    </cfRule>
  </conditionalFormatting>
  <conditionalFormatting sqref="K13:L512">
    <cfRule type="expression" dxfId="2" priority="3">
      <formula>$D13&lt;&gt;2</formula>
    </cfRule>
  </conditionalFormatting>
  <conditionalFormatting sqref="L13:L512">
    <cfRule type="expression" dxfId="1" priority="11">
      <formula>AND(($K13="あり"),($L13=""))</formula>
    </cfRule>
    <cfRule type="expression" dxfId="0" priority="12">
      <formula>$K13="なし"</formula>
    </cfRule>
  </conditionalFormatting>
  <dataValidations count="8">
    <dataValidation type="textLength" imeMode="disabled" operator="equal" allowBlank="1" showInputMessage="1" showErrorMessage="1" error="会社コードは５桁で入力ください" sqref="I13:I512" xr:uid="{093016F2-A45F-4017-A37D-B73CC9767025}">
      <formula1>5</formula1>
    </dataValidation>
    <dataValidation imeMode="disabled" allowBlank="1" showInputMessage="1" showErrorMessage="1" sqref="L13:L512 E13:G512" xr:uid="{1A56B022-B27B-476F-A603-D0D3BB126D01}"/>
    <dataValidation type="list" allowBlank="1" showInputMessage="1" showErrorMessage="1" errorTitle="エラー" error="1,2,3のいずれかを選択ください" sqref="D15 D18" xr:uid="{95DCF21B-9A40-415E-BB91-1D152A671552}">
      <formula1>"1,2,3"</formula1>
    </dataValidation>
    <dataValidation type="list" allowBlank="1" showInputMessage="1" showErrorMessage="1" sqref="H10:H512" xr:uid="{54599BB3-6EFE-48E6-8AA8-819202069799}">
      <formula1>"新規払い出し,既存コードに追加"</formula1>
    </dataValidation>
    <dataValidation type="list" allowBlank="1" showInputMessage="1" showErrorMessage="1" sqref="C10:C512" xr:uid="{8BDBA92F-7CFB-46E5-8E4B-819660BC91A0}">
      <formula1>"追加,削除"</formula1>
    </dataValidation>
    <dataValidation type="list" allowBlank="1" showInputMessage="1" showErrorMessage="1" errorTitle="エラー" error="1,2,3から選択ください" sqref="D10:D14 D19:D512 D16:D17" xr:uid="{141072F4-86D4-45C2-84BB-4526E9F7BA18}">
      <formula1>"1,2,3"</formula1>
    </dataValidation>
    <dataValidation type="list" allowBlank="1" showInputMessage="1" showErrorMessage="1" sqref="K10:K512" xr:uid="{879F5753-CC3A-48AC-89B3-FC98206C35EB}">
      <formula1>"あり,なし"</formula1>
    </dataValidation>
    <dataValidation type="list" allowBlank="1" showInputMessage="1" showErrorMessage="1" sqref="J10:J512" xr:uid="{3D6AED5E-9E61-405B-9B36-54C9CCC05933}">
      <formula1>"希望する,希望しない"</formula1>
    </dataValidation>
  </dataValidations>
  <pageMargins left="0.7" right="0.7" top="0.75" bottom="0.75" header="0.3" footer="0.3"/>
  <pageSetup paperSize="9" scale="59" orientation="portrait"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619445-CE14-49D3-AE67-334C915A61A6}">
  <dimension ref="A1:AA516"/>
  <sheetViews>
    <sheetView zoomScaleNormal="100" workbookViewId="0">
      <selection activeCell="C9" sqref="C9"/>
    </sheetView>
  </sheetViews>
  <sheetFormatPr defaultRowHeight="13.5"/>
  <cols>
    <col min="1" max="1" width="25.5" customWidth="1"/>
    <col min="2" max="2" width="22.5" customWidth="1"/>
    <col min="3" max="3" width="24.875" customWidth="1"/>
    <col min="4" max="6" width="22.5" customWidth="1"/>
    <col min="7" max="7" width="24.5" bestFit="1" customWidth="1"/>
    <col min="8" max="8" width="28.25" bestFit="1" customWidth="1"/>
    <col min="9" max="9" width="30" bestFit="1" customWidth="1"/>
    <col min="10" max="10" width="25.875" bestFit="1" customWidth="1"/>
    <col min="11" max="11" width="34.5" bestFit="1" customWidth="1"/>
    <col min="12" max="12" width="30.25" bestFit="1" customWidth="1"/>
    <col min="13" max="13" width="32.25" bestFit="1" customWidth="1"/>
    <col min="14" max="14" width="30.5" bestFit="1" customWidth="1"/>
    <col min="15" max="15" width="29.875" bestFit="1" customWidth="1"/>
    <col min="16" max="16" width="20.5" bestFit="1" customWidth="1"/>
    <col min="17" max="21" width="16.5" customWidth="1"/>
    <col min="22" max="22" width="30.75" bestFit="1" customWidth="1"/>
    <col min="25" max="26" width="25" bestFit="1" customWidth="1"/>
  </cols>
  <sheetData>
    <row r="1" spans="1:27" ht="14.25" thickBot="1">
      <c r="Z1" t="s">
        <v>60</v>
      </c>
      <c r="AA1" s="135" t="str">
        <f>DBCS(SUBSTITUTE(SUBSTITUTE(TRIM(contractCustomerNameKana)," ","　"),CHAR(10),"　"))</f>
        <v/>
      </c>
    </row>
    <row r="2" spans="1:27" ht="40.9" customHeight="1">
      <c r="A2" t="s">
        <v>56</v>
      </c>
      <c r="B2" t="s">
        <v>98</v>
      </c>
      <c r="D2" t="s">
        <v>72</v>
      </c>
      <c r="O2" s="111" t="s">
        <v>209</v>
      </c>
      <c r="P2" s="112" t="s">
        <v>67</v>
      </c>
      <c r="Q2" s="128" t="s">
        <v>194</v>
      </c>
      <c r="R2" s="112" t="s">
        <v>67</v>
      </c>
      <c r="S2" s="128" t="s">
        <v>195</v>
      </c>
      <c r="T2" s="112" t="s">
        <v>67</v>
      </c>
      <c r="Z2" t="s">
        <v>218</v>
      </c>
      <c r="AA2" s="135" t="str">
        <f>DBCS(SUBSTITUTE(SUBSTITUTE(TRIM(billingStationDeptNameKana)," ","　"),CHAR(10),"　"))</f>
        <v/>
      </c>
    </row>
    <row r="3" spans="1:27" ht="14.25" thickBot="1">
      <c r="A3" t="s">
        <v>57</v>
      </c>
      <c r="B3" t="s">
        <v>97</v>
      </c>
      <c r="D3" t="s">
        <v>71</v>
      </c>
      <c r="O3" s="113"/>
      <c r="P3" s="114" t="str">
        <f>IF(newbillingStationCustomerNumberOnly="","","BS"&amp;newbillingStationCustomerNumberOnly)</f>
        <v/>
      </c>
      <c r="Q3" s="113"/>
      <c r="R3" s="114" t="str">
        <f>IF(oldbillingStationCustomerNumberOnly="","","BS"&amp;oldbillingStationCustomerNumberOnly)</f>
        <v/>
      </c>
      <c r="S3" s="113"/>
      <c r="T3" s="114" t="str">
        <f>IF(newbillingStationCustomerNumberOnly="","","BS"&amp;newbillingStationCustomerNumberOnly)</f>
        <v/>
      </c>
      <c r="Z3" t="s">
        <v>65</v>
      </c>
      <c r="AA3" s="135" t="str">
        <f>DBCS(SUBSTITUTE(SUBSTITUTE(TRIM(billingStationPersonKana)," ","　"),CHAR(10),"　"))</f>
        <v/>
      </c>
    </row>
    <row r="4" spans="1:27">
      <c r="A4" s="9">
        <f>formVersion</f>
        <v>2.2999999999999998</v>
      </c>
      <c r="B4" s="9" t="s">
        <v>203</v>
      </c>
      <c r="D4" t="s">
        <v>202</v>
      </c>
    </row>
    <row r="6" spans="1:27" ht="76.150000000000006" customHeight="1">
      <c r="B6" s="7" t="s">
        <v>167</v>
      </c>
      <c r="C6" s="7" t="s">
        <v>168</v>
      </c>
      <c r="D6" s="7" t="s">
        <v>169</v>
      </c>
      <c r="E6" s="7" t="s">
        <v>170</v>
      </c>
      <c r="F6" s="7" t="s">
        <v>171</v>
      </c>
      <c r="G6" s="7" t="s">
        <v>172</v>
      </c>
      <c r="H6" s="7" t="s">
        <v>173</v>
      </c>
      <c r="I6" s="7" t="s">
        <v>174</v>
      </c>
      <c r="J6" s="7" t="s">
        <v>175</v>
      </c>
      <c r="K6" s="7" t="s">
        <v>176</v>
      </c>
      <c r="L6" s="7" t="s">
        <v>177</v>
      </c>
      <c r="M6" s="7" t="s">
        <v>178</v>
      </c>
      <c r="N6" s="7" t="s">
        <v>179</v>
      </c>
      <c r="O6" s="7" t="s">
        <v>180</v>
      </c>
      <c r="P6" s="7" t="s">
        <v>181</v>
      </c>
      <c r="Q6" s="7" t="s">
        <v>211</v>
      </c>
      <c r="R6" s="7" t="s">
        <v>182</v>
      </c>
      <c r="S6" s="7" t="s">
        <v>183</v>
      </c>
      <c r="T6" s="7" t="s">
        <v>184</v>
      </c>
      <c r="U6" s="7" t="s">
        <v>184</v>
      </c>
      <c r="V6" s="7" t="s">
        <v>184</v>
      </c>
      <c r="W6" s="7" t="s">
        <v>184</v>
      </c>
      <c r="X6" s="7" t="s">
        <v>184</v>
      </c>
      <c r="Z6" s="7" t="s">
        <v>206</v>
      </c>
      <c r="AA6" s="7" t="s">
        <v>215</v>
      </c>
    </row>
    <row r="7" spans="1:27" s="3" customFormat="1" ht="40.5">
      <c r="A7" t="s">
        <v>204</v>
      </c>
      <c r="B7" s="2" t="s">
        <v>17</v>
      </c>
      <c r="C7" s="1" t="s">
        <v>18</v>
      </c>
      <c r="D7" s="2" t="s">
        <v>19</v>
      </c>
      <c r="E7" s="2" t="s">
        <v>53</v>
      </c>
      <c r="F7" s="1" t="s">
        <v>20</v>
      </c>
      <c r="G7" s="1" t="s">
        <v>21</v>
      </c>
      <c r="H7" s="1" t="s">
        <v>73</v>
      </c>
      <c r="I7" s="2" t="s">
        <v>22</v>
      </c>
      <c r="J7" s="1" t="s">
        <v>23</v>
      </c>
      <c r="K7" s="2" t="s">
        <v>24</v>
      </c>
      <c r="L7" s="1" t="s">
        <v>25</v>
      </c>
      <c r="M7" s="2" t="s">
        <v>26</v>
      </c>
      <c r="N7" s="1" t="s">
        <v>80</v>
      </c>
      <c r="O7" s="2" t="s">
        <v>81</v>
      </c>
      <c r="P7" s="115" t="s">
        <v>159</v>
      </c>
      <c r="Q7" s="115" t="s">
        <v>160</v>
      </c>
      <c r="R7" s="2" t="s">
        <v>27</v>
      </c>
      <c r="S7" s="116" t="s">
        <v>162</v>
      </c>
      <c r="T7" s="2" t="s">
        <v>28</v>
      </c>
      <c r="U7" s="2" t="s">
        <v>29</v>
      </c>
      <c r="V7" s="2" t="s">
        <v>30</v>
      </c>
      <c r="W7" s="2" t="s">
        <v>31</v>
      </c>
      <c r="X7" s="2" t="s">
        <v>32</v>
      </c>
      <c r="Y7" s="3" t="s">
        <v>197</v>
      </c>
      <c r="Z7" s="130"/>
    </row>
    <row r="8" spans="1:27" ht="26.45" customHeight="1">
      <c r="A8" s="4" t="s">
        <v>58</v>
      </c>
      <c r="B8" s="5" t="s">
        <v>59</v>
      </c>
      <c r="C8" s="4" t="s">
        <v>60</v>
      </c>
      <c r="D8" s="5" t="s">
        <v>61</v>
      </c>
      <c r="E8" s="5" t="s">
        <v>52</v>
      </c>
      <c r="F8" s="4" t="s">
        <v>62</v>
      </c>
      <c r="G8" s="4" t="s">
        <v>74</v>
      </c>
      <c r="H8" s="4" t="s">
        <v>75</v>
      </c>
      <c r="I8" s="5" t="s">
        <v>33</v>
      </c>
      <c r="J8" s="4" t="s">
        <v>63</v>
      </c>
      <c r="K8" s="5" t="s">
        <v>64</v>
      </c>
      <c r="L8" s="4" t="s">
        <v>65</v>
      </c>
      <c r="M8" s="5" t="s">
        <v>66</v>
      </c>
      <c r="N8" s="5" t="s">
        <v>78</v>
      </c>
      <c r="O8" s="5" t="s">
        <v>79</v>
      </c>
      <c r="P8" s="6" t="s">
        <v>109</v>
      </c>
      <c r="Q8" s="6" t="s">
        <v>158</v>
      </c>
      <c r="R8" s="4" t="s">
        <v>54</v>
      </c>
      <c r="S8" s="4" t="s">
        <v>161</v>
      </c>
      <c r="T8" s="5" t="s">
        <v>34</v>
      </c>
      <c r="U8" s="4" t="s">
        <v>35</v>
      </c>
      <c r="V8" s="5" t="s">
        <v>36</v>
      </c>
      <c r="W8" s="4" t="s">
        <v>37</v>
      </c>
      <c r="X8" s="4" t="s">
        <v>38</v>
      </c>
      <c r="Y8" s="4" t="s">
        <v>196</v>
      </c>
      <c r="Z8" s="131" t="s">
        <v>210</v>
      </c>
      <c r="AA8" s="4" t="s">
        <v>216</v>
      </c>
    </row>
    <row r="9" spans="1:27" s="7" customFormat="1" ht="74.45" customHeight="1">
      <c r="A9" s="117" t="s">
        <v>200</v>
      </c>
      <c r="B9" s="118" t="str">
        <f>ASC(IF(applicationArrivalDate="","",applicationArrivalDate))</f>
        <v/>
      </c>
      <c r="C9" s="117" t="str" cm="1">
        <f t="array" aca="1" ref="C9" ca="1">IF(SUMPRODUCT(--ISNUMBER(FIND(MID(AA1, ROW(INDIRECT("1:" &amp; LEN(AA1))), 1), "０１２３４５６７８９！＃＄％＆＇’（）＊＋，－．／：；＜＝＞？＠［＼］＾＿｀｛｜｝～・アイウエオカキクケコガギグゲゴサシスセソザジズゼゾタチツテトダヂヅデドナニヌネノハヒフヘホバビブベボパピプペポマミムメモヤユヨラリルレロワヲンヴァィゥェォヵヶッャュョヮー　～")))=LEN(AA1), AA1, 1/0)</f>
        <v/>
      </c>
      <c r="D9" s="119" t="str">
        <f>DBCS(SUBSTITUTE(SUBSTITUTE(TRIM(contractCustomerName)," ","　"),CHAR(10),"　"))</f>
        <v/>
      </c>
      <c r="E9" s="119">
        <f>IF(meigiHenkou="✓",1,0)</f>
        <v>0</v>
      </c>
      <c r="F9" s="117" t="str">
        <f>ASC(SUBSTITUTE(contractCustomerPostalNumber,"-",""))</f>
        <v/>
      </c>
      <c r="G9" s="117" t="str">
        <f>DBCS(SUBSTITUTE(SUBSTITUTE(TRIM(contractCustomerAddress)," ","　"),CHAR(10),"　"))</f>
        <v/>
      </c>
      <c r="H9" s="117" t="str">
        <f>DBCS(SUBSTITUTE(SUBSTITUTE(TRIM(contractCustomerAddress2)," ","　"),CHAR(10),"　"))</f>
        <v/>
      </c>
      <c r="I9" s="119" t="str">
        <f>ASC(SUBSTITUTE(billingStationPhoneNumber,"-",""))</f>
        <v/>
      </c>
      <c r="J9" s="117" t="str" cm="1">
        <f t="array" aca="1" ref="J9" ca="1">IF(SUMPRODUCT(--ISNUMBER(FIND(MID(AA2, ROW(INDIRECT("1:" &amp; LEN(AA2))), 1), "０１２３４５６７８９！＃＄％＆＇’（）＊＋，－．／：；＜＝＞？＠［＼］＾＿｀｛｜｝～・アイウエオカキクケコガギグゲゴサシスセソザジズゼゾタチツテトダヂヅデドナニヌネノハヒフヘホバビブベボパピプペポマミムメモヤユヨラリルレロワヲンヴァィゥェォヵヶッャュョヮー　～")))=LEN(AA2), AA2, 1/0)</f>
        <v/>
      </c>
      <c r="K9" s="119" t="str">
        <f>DBCS(SUBSTITUTE(SUBSTITUTE(TRIM(billingStationDeptName)," ","　"),CHAR(10),"　"))</f>
        <v/>
      </c>
      <c r="L9" s="117" t="str" cm="1">
        <f t="array" aca="1" ref="L9" ca="1">IF(SUMPRODUCT(--ISNUMBER(FIND(MID(AA3, ROW(INDIRECT("1:" &amp; LEN(AA3))), 1), "０１２３４５６７８９！＃＄％＆＇’（）＊＋，－．／：；＜＝＞？＠［＼］＾＿｀｛｜｝～・アイウエオカキクケコガギグゲゴサシスセソザジズゼゾタチツテトダヂヅデドナニヌネノハヒフヘホバビブベボパピプペポマミムメモヤユヨラリルレロワヲンヴァィゥェォヵヶッャュョヮー　～")))=LEN(AA3), AA3, 1/0)</f>
        <v/>
      </c>
      <c r="M9" s="119" t="str">
        <f>DBCS(SUBSTITUTE(SUBSTITUTE(TRIM(billingStationPerson)," ","　"),CHAR(10),"　"))</f>
        <v/>
      </c>
      <c r="N9" s="119"/>
      <c r="O9" s="119"/>
      <c r="P9" s="119"/>
      <c r="Q9" s="119"/>
      <c r="R9" s="117" t="str">
        <f>ASC(billingStationCustomerNumber)</f>
        <v/>
      </c>
      <c r="S9" s="117"/>
      <c r="T9" s="119" t="str">
        <f>comment&amp;""</f>
        <v/>
      </c>
      <c r="U9" s="117" t="str">
        <f>salesChannelDeptName&amp;""</f>
        <v/>
      </c>
      <c r="V9" s="119" t="str">
        <f>salesChannelPersonName&amp;""</f>
        <v/>
      </c>
      <c r="W9" s="117" t="str">
        <f>salesChannelPhoneNumber&amp;""</f>
        <v/>
      </c>
      <c r="X9" s="120" t="str">
        <f>salesChannelMailAddress&amp;""</f>
        <v/>
      </c>
      <c r="Y9" s="120" t="str">
        <f>ASC(oldbillingStationCustomerNumber)</f>
        <v/>
      </c>
      <c r="Z9" s="132"/>
      <c r="AA9" s="120" cm="1">
        <f t="array" aca="1" ref="AA9" ca="1">SUMPRODUCT(ISERROR(変更付替申込書[[#This Row],[ファイル名]:[列1]])*1)</f>
        <v>0</v>
      </c>
    </row>
    <row r="10" spans="1:27">
      <c r="O10" s="10"/>
      <c r="P10" s="10"/>
      <c r="R10" t="s">
        <v>205</v>
      </c>
      <c r="Z10" s="130"/>
    </row>
    <row r="11" spans="1:27" s="7" customFormat="1" ht="31.15" customHeight="1">
      <c r="A11" s="7" t="s">
        <v>198</v>
      </c>
      <c r="E11" s="7" t="s">
        <v>164</v>
      </c>
      <c r="F11" s="7" t="s">
        <v>208</v>
      </c>
      <c r="G11" s="7" t="s">
        <v>208</v>
      </c>
      <c r="H11" s="7" t="s">
        <v>208</v>
      </c>
      <c r="I11" s="7" t="s">
        <v>208</v>
      </c>
      <c r="J11" s="7" t="s">
        <v>208</v>
      </c>
      <c r="K11" s="7" t="s">
        <v>208</v>
      </c>
      <c r="L11" s="7" t="s">
        <v>185</v>
      </c>
      <c r="Z11" s="133"/>
    </row>
    <row r="12" spans="1:27">
      <c r="A12" t="s">
        <v>84</v>
      </c>
      <c r="B12" t="s">
        <v>128</v>
      </c>
      <c r="C12" t="s">
        <v>214</v>
      </c>
      <c r="D12" t="s">
        <v>130</v>
      </c>
      <c r="E12" t="s">
        <v>131</v>
      </c>
      <c r="F12" t="s">
        <v>132</v>
      </c>
      <c r="G12" t="s">
        <v>133</v>
      </c>
      <c r="H12" t="s">
        <v>134</v>
      </c>
      <c r="I12" t="s">
        <v>135</v>
      </c>
      <c r="J12" t="s">
        <v>136</v>
      </c>
      <c r="K12" t="s">
        <v>137</v>
      </c>
      <c r="L12" t="s">
        <v>138</v>
      </c>
    </row>
    <row r="13" spans="1:27">
      <c r="A13">
        <v>1</v>
      </c>
      <c r="B13" t="s">
        <v>70</v>
      </c>
      <c r="C13" t="str">
        <f>shubetsu001&amp;""</f>
        <v/>
      </c>
      <c r="D13" t="str">
        <f>(IF(削除番明[[#This Row],[請求種別]]="2",(LEFT(billid001,10)),billid001))&amp;""</f>
        <v/>
      </c>
      <c r="E13" t="str">
        <f>UPPER(SUBSTITUTE(削除番明[[#This Row],[ご請求番号]],"-",""))</f>
        <v/>
      </c>
      <c r="F13" s="129" t="str">
        <f>keiyakuid001&amp;""</f>
        <v/>
      </c>
      <c r="G13" s="129"/>
      <c r="H13" s="129"/>
      <c r="I13" s="129"/>
      <c r="J13" s="129"/>
      <c r="K13" s="129" t="str">
        <f>belugabun001&amp;""</f>
        <v/>
      </c>
      <c r="L13" t="b">
        <f>IF(oldbillingStationCustomerNumberOnly="",FALSE,shutoku001)</f>
        <v>0</v>
      </c>
    </row>
    <row r="14" spans="1:27">
      <c r="A14">
        <v>2</v>
      </c>
      <c r="B14" t="s">
        <v>70</v>
      </c>
      <c r="C14" t="str">
        <f>shubetsu002&amp;""</f>
        <v/>
      </c>
      <c r="D14" t="str">
        <f>(IF(削除番明[[#This Row],[請求種別]]="2",(LEFT(billid002,10)),billid002))&amp;""</f>
        <v/>
      </c>
      <c r="E14" t="str">
        <f>UPPER(SUBSTITUTE(削除番明[[#This Row],[ご請求番号]],"-",""))</f>
        <v/>
      </c>
      <c r="F14" s="129" t="str">
        <f>keiyakuid002&amp;""</f>
        <v/>
      </c>
      <c r="G14" s="129"/>
      <c r="H14" s="129"/>
      <c r="I14" s="129"/>
      <c r="J14" s="129"/>
      <c r="K14" s="129" t="str">
        <f>belugabun002&amp;""</f>
        <v/>
      </c>
      <c r="L14" t="b">
        <f>IF(oldbillingStationCustomerNumberOnly="",FALSE,shutoku002)</f>
        <v>0</v>
      </c>
    </row>
    <row r="15" spans="1:27">
      <c r="A15">
        <v>3</v>
      </c>
      <c r="B15" t="s">
        <v>70</v>
      </c>
      <c r="C15" t="str">
        <f>shubetsu003&amp;""</f>
        <v/>
      </c>
      <c r="D15" t="str">
        <f>(IF(削除番明[[#This Row],[請求種別]]="2",(LEFT(billid003,10)),billid003))&amp;""</f>
        <v/>
      </c>
      <c r="E15" t="str">
        <f>UPPER(SUBSTITUTE(削除番明[[#This Row],[ご請求番号]],"-",""))</f>
        <v/>
      </c>
      <c r="F15" s="129" t="str">
        <f>keiyakuid003&amp;""</f>
        <v/>
      </c>
      <c r="G15" s="129"/>
      <c r="H15" s="129"/>
      <c r="I15" s="129"/>
      <c r="J15" s="129"/>
      <c r="K15" s="129" t="str">
        <f>belugabun003&amp;""</f>
        <v/>
      </c>
      <c r="L15" t="b">
        <f>IF(oldbillingStationCustomerNumberOnly="",FALSE,shutoku003)</f>
        <v>0</v>
      </c>
    </row>
    <row r="16" spans="1:27">
      <c r="A16">
        <v>4</v>
      </c>
      <c r="B16" t="s">
        <v>70</v>
      </c>
      <c r="C16" t="str">
        <f>shubetsu004&amp;""</f>
        <v/>
      </c>
      <c r="D16" t="str">
        <f>(IF(削除番明[[#This Row],[請求種別]]="2",(LEFT(billid004,10)),billid004))&amp;""</f>
        <v/>
      </c>
      <c r="E16" t="str">
        <f>UPPER(SUBSTITUTE(削除番明[[#This Row],[ご請求番号]],"-",""))</f>
        <v/>
      </c>
      <c r="F16" s="129" t="str">
        <f>keiyakuid004&amp;""</f>
        <v/>
      </c>
      <c r="G16" s="129"/>
      <c r="H16" s="129"/>
      <c r="I16" s="129"/>
      <c r="J16" s="129"/>
      <c r="K16" s="129" t="str">
        <f>belugabun004&amp;""</f>
        <v/>
      </c>
      <c r="L16" t="b">
        <f>IF(oldbillingStationCustomerNumberOnly="",FALSE,shutoku004)</f>
        <v>0</v>
      </c>
    </row>
    <row r="17" spans="1:12">
      <c r="A17">
        <v>5</v>
      </c>
      <c r="B17" t="s">
        <v>70</v>
      </c>
      <c r="C17" t="str">
        <f>shubetsu005&amp;""</f>
        <v/>
      </c>
      <c r="D17" t="str">
        <f>(IF(削除番明[[#This Row],[請求種別]]="2",(LEFT(billid005,10)),billid005))&amp;""</f>
        <v/>
      </c>
      <c r="E17" t="str">
        <f>UPPER(SUBSTITUTE(削除番明[[#This Row],[ご請求番号]],"-",""))</f>
        <v/>
      </c>
      <c r="F17" s="129" t="str">
        <f>keiyakuid005&amp;""</f>
        <v/>
      </c>
      <c r="G17" s="129"/>
      <c r="H17" s="129"/>
      <c r="I17" s="129"/>
      <c r="J17" s="129"/>
      <c r="K17" s="129" t="str">
        <f>belugabun005&amp;""</f>
        <v/>
      </c>
      <c r="L17" t="b">
        <f>IF(oldbillingStationCustomerNumberOnly="",FALSE,shutoku005)</f>
        <v>0</v>
      </c>
    </row>
    <row r="18" spans="1:12">
      <c r="A18">
        <v>6</v>
      </c>
      <c r="B18" t="s">
        <v>70</v>
      </c>
      <c r="C18" t="str">
        <f>shubetsu006&amp;""</f>
        <v/>
      </c>
      <c r="D18" t="str">
        <f>(IF(削除番明[[#This Row],[請求種別]]="2",(LEFT(billid006,10)),billid006))&amp;""</f>
        <v/>
      </c>
      <c r="E18" t="str">
        <f>UPPER(SUBSTITUTE(削除番明[[#This Row],[ご請求番号]],"-",""))</f>
        <v/>
      </c>
      <c r="F18" s="129" t="str">
        <f>keiyakuid006&amp;""</f>
        <v/>
      </c>
      <c r="G18" s="129"/>
      <c r="H18" s="129"/>
      <c r="I18" s="129"/>
      <c r="J18" s="129"/>
      <c r="K18" s="129" t="str">
        <f>belugabun006&amp;""</f>
        <v/>
      </c>
      <c r="L18" t="b">
        <f>IF(oldbillingStationCustomerNumberOnly="",FALSE,shutoku006)</f>
        <v>0</v>
      </c>
    </row>
    <row r="19" spans="1:12">
      <c r="A19">
        <v>7</v>
      </c>
      <c r="B19" t="s">
        <v>70</v>
      </c>
      <c r="C19" t="str">
        <f>shubetsu007&amp;""</f>
        <v/>
      </c>
      <c r="D19" t="str">
        <f>(IF(削除番明[[#This Row],[請求種別]]="2",(LEFT(billid007,10)),billid007))&amp;""</f>
        <v/>
      </c>
      <c r="E19" t="str">
        <f>UPPER(SUBSTITUTE(削除番明[[#This Row],[ご請求番号]],"-",""))</f>
        <v/>
      </c>
      <c r="F19" s="129" t="str">
        <f>keiyakuid007&amp;""</f>
        <v/>
      </c>
      <c r="G19" s="129"/>
      <c r="H19" s="129"/>
      <c r="I19" s="129"/>
      <c r="J19" s="129"/>
      <c r="K19" s="129" t="str">
        <f>belugabun007&amp;""</f>
        <v/>
      </c>
      <c r="L19" t="b">
        <f>IF(oldbillingStationCustomerNumberOnly="",FALSE,shutoku007)</f>
        <v>0</v>
      </c>
    </row>
    <row r="20" spans="1:12">
      <c r="A20">
        <v>8</v>
      </c>
      <c r="B20" t="s">
        <v>70</v>
      </c>
      <c r="C20" t="str">
        <f>shubetsu008&amp;""</f>
        <v/>
      </c>
      <c r="D20" t="str">
        <f>(IF(削除番明[[#This Row],[請求種別]]="2",(LEFT(billid008,10)),billid008))&amp;""</f>
        <v/>
      </c>
      <c r="E20" t="str">
        <f>UPPER(SUBSTITUTE(削除番明[[#This Row],[ご請求番号]],"-",""))</f>
        <v/>
      </c>
      <c r="F20" s="129" t="str">
        <f>keiyakuid008&amp;""</f>
        <v/>
      </c>
      <c r="G20" s="129"/>
      <c r="H20" s="129"/>
      <c r="I20" s="129"/>
      <c r="J20" s="129"/>
      <c r="K20" s="129" t="str">
        <f>belugabun008&amp;""</f>
        <v/>
      </c>
      <c r="L20" t="b">
        <f>IF(oldbillingStationCustomerNumberOnly="",FALSE,shutoku008)</f>
        <v>0</v>
      </c>
    </row>
    <row r="21" spans="1:12">
      <c r="A21">
        <v>9</v>
      </c>
      <c r="B21" t="s">
        <v>70</v>
      </c>
      <c r="C21" t="str">
        <f>shubetsu009&amp;""</f>
        <v/>
      </c>
      <c r="D21" t="str">
        <f>(IF(削除番明[[#This Row],[請求種別]]="2",(LEFT(billid009,10)),billid009))&amp;""</f>
        <v/>
      </c>
      <c r="E21" t="str">
        <f>UPPER(SUBSTITUTE(削除番明[[#This Row],[ご請求番号]],"-",""))</f>
        <v/>
      </c>
      <c r="F21" s="129" t="str">
        <f>keiyakuid009&amp;""</f>
        <v/>
      </c>
      <c r="G21" s="129"/>
      <c r="H21" s="129"/>
      <c r="I21" s="129"/>
      <c r="J21" s="129"/>
      <c r="K21" s="129" t="str">
        <f>belugabun009&amp;""</f>
        <v/>
      </c>
      <c r="L21" t="b">
        <f>IF(oldbillingStationCustomerNumberOnly="",FALSE,shutoku009)</f>
        <v>0</v>
      </c>
    </row>
    <row r="22" spans="1:12">
      <c r="A22">
        <v>10</v>
      </c>
      <c r="B22" t="s">
        <v>70</v>
      </c>
      <c r="C22" t="str">
        <f>shubetsu010&amp;""</f>
        <v/>
      </c>
      <c r="D22" t="str">
        <f>(IF(削除番明[[#This Row],[請求種別]]="2",(LEFT(billid010,10)),billid010))&amp;""</f>
        <v/>
      </c>
      <c r="E22" t="str">
        <f>UPPER(SUBSTITUTE(削除番明[[#This Row],[ご請求番号]],"-",""))</f>
        <v/>
      </c>
      <c r="F22" s="129" t="str">
        <f>keiyakuid010&amp;""</f>
        <v/>
      </c>
      <c r="G22" s="129"/>
      <c r="H22" s="129"/>
      <c r="I22" s="129"/>
      <c r="J22" s="129"/>
      <c r="K22" s="129" t="str">
        <f>belugabun010&amp;""</f>
        <v/>
      </c>
      <c r="L22" t="b">
        <f>IF(oldbillingStationCustomerNumberOnly="",FALSE,shutoku010)</f>
        <v>0</v>
      </c>
    </row>
    <row r="23" spans="1:12">
      <c r="A23">
        <v>11</v>
      </c>
      <c r="B23" t="s">
        <v>70</v>
      </c>
      <c r="C23" t="str">
        <f>shubetsu011&amp;""</f>
        <v/>
      </c>
      <c r="D23" t="str">
        <f>(IF(削除番明[[#This Row],[請求種別]]="2",(LEFT(billid011,10)),billid011))&amp;""</f>
        <v/>
      </c>
      <c r="E23" t="str">
        <f>UPPER(SUBSTITUTE(削除番明[[#This Row],[ご請求番号]],"-",""))</f>
        <v/>
      </c>
      <c r="F23" s="129" t="str">
        <f>keiyakuid011&amp;""</f>
        <v/>
      </c>
      <c r="G23" s="129"/>
      <c r="H23" s="129"/>
      <c r="I23" s="129"/>
      <c r="J23" s="129"/>
      <c r="K23" s="129" t="str">
        <f>belugabun011&amp;""</f>
        <v/>
      </c>
      <c r="L23" t="b">
        <f>IF(oldbillingStationCustomerNumberOnly="",FALSE,shutoku011)</f>
        <v>0</v>
      </c>
    </row>
    <row r="24" spans="1:12">
      <c r="A24">
        <v>12</v>
      </c>
      <c r="B24" t="s">
        <v>70</v>
      </c>
      <c r="C24" t="str">
        <f>shubetsu012&amp;""</f>
        <v/>
      </c>
      <c r="D24" t="str">
        <f>(IF(削除番明[[#This Row],[請求種別]]="2",(LEFT(billid012,10)),billid012))&amp;""</f>
        <v/>
      </c>
      <c r="E24" t="str">
        <f>UPPER(SUBSTITUTE(削除番明[[#This Row],[ご請求番号]],"-",""))</f>
        <v/>
      </c>
      <c r="F24" s="129" t="str">
        <f>keiyakuid012&amp;""</f>
        <v/>
      </c>
      <c r="G24" s="129"/>
      <c r="H24" s="129"/>
      <c r="I24" s="129"/>
      <c r="J24" s="129"/>
      <c r="K24" s="129" t="str">
        <f>belugabun012&amp;""</f>
        <v/>
      </c>
      <c r="L24" t="b">
        <f>IF(oldbillingStationCustomerNumberOnly="",FALSE,shutoku012)</f>
        <v>0</v>
      </c>
    </row>
    <row r="25" spans="1:12">
      <c r="A25">
        <v>13</v>
      </c>
      <c r="B25" t="s">
        <v>70</v>
      </c>
      <c r="C25" t="str">
        <f>shubetsu013&amp;""</f>
        <v/>
      </c>
      <c r="D25" t="str">
        <f>(IF(削除番明[[#This Row],[請求種別]]="2",(LEFT(billid013,10)),billid013))&amp;""</f>
        <v/>
      </c>
      <c r="E25" t="str">
        <f>UPPER(SUBSTITUTE(削除番明[[#This Row],[ご請求番号]],"-",""))</f>
        <v/>
      </c>
      <c r="F25" s="129" t="str">
        <f>keiyakuid013&amp;""</f>
        <v/>
      </c>
      <c r="G25" s="129"/>
      <c r="H25" s="129"/>
      <c r="I25" s="129"/>
      <c r="J25" s="129"/>
      <c r="K25" s="129" t="str">
        <f>belugabun013&amp;""</f>
        <v/>
      </c>
      <c r="L25" t="b">
        <f>IF(oldbillingStationCustomerNumberOnly="",FALSE,shutoku013)</f>
        <v>0</v>
      </c>
    </row>
    <row r="26" spans="1:12">
      <c r="A26">
        <v>14</v>
      </c>
      <c r="B26" t="s">
        <v>70</v>
      </c>
      <c r="C26" t="str">
        <f>shubetsu014&amp;""</f>
        <v/>
      </c>
      <c r="D26" t="str">
        <f>(IF(削除番明[[#This Row],[請求種別]]="2",(LEFT(billid014,10)),billid014))&amp;""</f>
        <v/>
      </c>
      <c r="E26" t="str">
        <f>UPPER(SUBSTITUTE(削除番明[[#This Row],[ご請求番号]],"-",""))</f>
        <v/>
      </c>
      <c r="F26" s="129" t="str">
        <f>keiyakuid014&amp;""</f>
        <v/>
      </c>
      <c r="G26" s="129"/>
      <c r="H26" s="129"/>
      <c r="I26" s="129"/>
      <c r="J26" s="129"/>
      <c r="K26" s="129" t="str">
        <f>belugabun014&amp;""</f>
        <v/>
      </c>
      <c r="L26" t="b">
        <f>IF(oldbillingStationCustomerNumberOnly="",FALSE,shutoku014)</f>
        <v>0</v>
      </c>
    </row>
    <row r="27" spans="1:12">
      <c r="A27">
        <v>15</v>
      </c>
      <c r="B27" t="s">
        <v>70</v>
      </c>
      <c r="C27" t="str">
        <f>shubetsu015&amp;""</f>
        <v/>
      </c>
      <c r="D27" t="str">
        <f>(IF(削除番明[[#This Row],[請求種別]]="2",(LEFT(billid015,10)),billid015))&amp;""</f>
        <v/>
      </c>
      <c r="E27" t="str">
        <f>UPPER(SUBSTITUTE(削除番明[[#This Row],[ご請求番号]],"-",""))</f>
        <v/>
      </c>
      <c r="F27" s="129" t="str">
        <f>keiyakuid015&amp;""</f>
        <v/>
      </c>
      <c r="G27" s="129"/>
      <c r="H27" s="129"/>
      <c r="I27" s="129"/>
      <c r="J27" s="129"/>
      <c r="K27" s="129" t="str">
        <f>belugabun015&amp;""</f>
        <v/>
      </c>
      <c r="L27" t="b">
        <f>IF(oldbillingStationCustomerNumberOnly="",FALSE,shutoku015)</f>
        <v>0</v>
      </c>
    </row>
    <row r="28" spans="1:12">
      <c r="A28">
        <v>16</v>
      </c>
      <c r="B28" t="s">
        <v>70</v>
      </c>
      <c r="C28" t="str">
        <f>shubetsu016&amp;""</f>
        <v/>
      </c>
      <c r="D28" t="str">
        <f>(IF(削除番明[[#This Row],[請求種別]]="2",(LEFT(billid016,10)),billid016))&amp;""</f>
        <v/>
      </c>
      <c r="E28" t="str">
        <f>UPPER(SUBSTITUTE(削除番明[[#This Row],[ご請求番号]],"-",""))</f>
        <v/>
      </c>
      <c r="F28" s="129" t="str">
        <f>keiyakuid016&amp;""</f>
        <v/>
      </c>
      <c r="G28" s="129"/>
      <c r="H28" s="129"/>
      <c r="I28" s="129"/>
      <c r="J28" s="129"/>
      <c r="K28" s="129" t="str">
        <f>belugabun016&amp;""</f>
        <v/>
      </c>
      <c r="L28" t="b">
        <f>IF(oldbillingStationCustomerNumberOnly="",FALSE,shutoku016)</f>
        <v>0</v>
      </c>
    </row>
    <row r="29" spans="1:12">
      <c r="A29">
        <v>17</v>
      </c>
      <c r="B29" t="s">
        <v>70</v>
      </c>
      <c r="C29" t="str">
        <f>shubetsu017&amp;""</f>
        <v/>
      </c>
      <c r="D29" t="str">
        <f>(IF(削除番明[[#This Row],[請求種別]]="2",(LEFT(billid017,10)),billid017))&amp;""</f>
        <v/>
      </c>
      <c r="E29" t="str">
        <f>UPPER(SUBSTITUTE(削除番明[[#This Row],[ご請求番号]],"-",""))</f>
        <v/>
      </c>
      <c r="F29" s="129" t="str">
        <f>keiyakuid017&amp;""</f>
        <v/>
      </c>
      <c r="G29" s="129"/>
      <c r="H29" s="129"/>
      <c r="I29" s="129"/>
      <c r="J29" s="129"/>
      <c r="K29" s="129" t="str">
        <f>belugabun017&amp;""</f>
        <v/>
      </c>
      <c r="L29" t="b">
        <f>IF(oldbillingStationCustomerNumberOnly="",FALSE,shutoku017)</f>
        <v>0</v>
      </c>
    </row>
    <row r="30" spans="1:12">
      <c r="A30">
        <v>18</v>
      </c>
      <c r="B30" t="s">
        <v>70</v>
      </c>
      <c r="C30" t="str">
        <f>shubetsu018&amp;""</f>
        <v/>
      </c>
      <c r="D30" t="str">
        <f>(IF(削除番明[[#This Row],[請求種別]]="2",(LEFT(billid018,10)),billid018))&amp;""</f>
        <v/>
      </c>
      <c r="E30" t="str">
        <f>UPPER(SUBSTITUTE(削除番明[[#This Row],[ご請求番号]],"-",""))</f>
        <v/>
      </c>
      <c r="F30" s="129" t="str">
        <f>keiyakuid018&amp;""</f>
        <v/>
      </c>
      <c r="G30" s="129"/>
      <c r="H30" s="129"/>
      <c r="I30" s="129"/>
      <c r="J30" s="129"/>
      <c r="K30" s="129" t="str">
        <f>belugabun018&amp;""</f>
        <v/>
      </c>
      <c r="L30" t="b">
        <f>IF(oldbillingStationCustomerNumberOnly="",FALSE,shutoku018)</f>
        <v>0</v>
      </c>
    </row>
    <row r="31" spans="1:12">
      <c r="A31">
        <v>19</v>
      </c>
      <c r="B31" t="s">
        <v>70</v>
      </c>
      <c r="C31" t="str">
        <f>shubetsu019&amp;""</f>
        <v/>
      </c>
      <c r="D31" t="str">
        <f>(IF(削除番明[[#This Row],[請求種別]]="2",(LEFT(billid019,10)),billid019))&amp;""</f>
        <v/>
      </c>
      <c r="E31" t="str">
        <f>UPPER(SUBSTITUTE(削除番明[[#This Row],[ご請求番号]],"-",""))</f>
        <v/>
      </c>
      <c r="F31" s="129" t="str">
        <f>keiyakuid019&amp;""</f>
        <v/>
      </c>
      <c r="G31" s="129"/>
      <c r="H31" s="129"/>
      <c r="I31" s="129"/>
      <c r="J31" s="129"/>
      <c r="K31" s="129" t="str">
        <f>belugabun019&amp;""</f>
        <v/>
      </c>
      <c r="L31" t="b">
        <f>IF(oldbillingStationCustomerNumberOnly="",FALSE,shutoku019)</f>
        <v>0</v>
      </c>
    </row>
    <row r="32" spans="1:12">
      <c r="A32">
        <v>20</v>
      </c>
      <c r="B32" t="s">
        <v>70</v>
      </c>
      <c r="C32" t="str">
        <f>shubetsu020&amp;""</f>
        <v/>
      </c>
      <c r="D32" t="str">
        <f>(IF(削除番明[[#This Row],[請求種別]]="2",(LEFT(billid020,10)),billid020))&amp;""</f>
        <v/>
      </c>
      <c r="E32" t="str">
        <f>UPPER(SUBSTITUTE(削除番明[[#This Row],[ご請求番号]],"-",""))</f>
        <v/>
      </c>
      <c r="F32" s="129" t="str">
        <f>keiyakuid020&amp;""</f>
        <v/>
      </c>
      <c r="G32" s="129"/>
      <c r="H32" s="129"/>
      <c r="I32" s="129"/>
      <c r="J32" s="129"/>
      <c r="K32" s="129" t="str">
        <f>belugabun020&amp;""</f>
        <v/>
      </c>
      <c r="L32" t="b">
        <f>IF(oldbillingStationCustomerNumberOnly="",FALSE,shutoku020)</f>
        <v>0</v>
      </c>
    </row>
    <row r="33" spans="1:12">
      <c r="A33">
        <v>21</v>
      </c>
      <c r="B33" t="s">
        <v>70</v>
      </c>
      <c r="C33" t="str">
        <f>shubetsu021&amp;""</f>
        <v/>
      </c>
      <c r="D33" t="str">
        <f>(IF(削除番明[[#This Row],[請求種別]]="2",(LEFT(billid021,10)),billid021))&amp;""</f>
        <v/>
      </c>
      <c r="E33" t="str">
        <f>UPPER(SUBSTITUTE(削除番明[[#This Row],[ご請求番号]],"-",""))</f>
        <v/>
      </c>
      <c r="F33" s="129" t="str">
        <f>keiyakuid021&amp;""</f>
        <v/>
      </c>
      <c r="G33" s="129"/>
      <c r="H33" s="129"/>
      <c r="I33" s="129"/>
      <c r="J33" s="129"/>
      <c r="K33" s="129" t="str">
        <f>belugabun021&amp;""</f>
        <v/>
      </c>
      <c r="L33" t="b">
        <f>IF(oldbillingStationCustomerNumberOnly="",FALSE,shutoku021)</f>
        <v>0</v>
      </c>
    </row>
    <row r="34" spans="1:12">
      <c r="A34">
        <v>22</v>
      </c>
      <c r="B34" t="s">
        <v>70</v>
      </c>
      <c r="C34" t="str">
        <f>shubetsu022&amp;""</f>
        <v/>
      </c>
      <c r="D34" t="str">
        <f>(IF(削除番明[[#This Row],[請求種別]]="2",(LEFT(billid022,10)),billid022))&amp;""</f>
        <v/>
      </c>
      <c r="E34" t="str">
        <f>UPPER(SUBSTITUTE(削除番明[[#This Row],[ご請求番号]],"-",""))</f>
        <v/>
      </c>
      <c r="F34" s="129" t="str">
        <f>keiyakuid022&amp;""</f>
        <v/>
      </c>
      <c r="G34" s="129"/>
      <c r="H34" s="129"/>
      <c r="I34" s="129"/>
      <c r="J34" s="129"/>
      <c r="K34" s="129" t="str">
        <f>belugabun022&amp;""</f>
        <v/>
      </c>
      <c r="L34" t="b">
        <f>IF(oldbillingStationCustomerNumberOnly="",FALSE,shutoku022)</f>
        <v>0</v>
      </c>
    </row>
    <row r="35" spans="1:12">
      <c r="A35">
        <v>23</v>
      </c>
      <c r="B35" t="s">
        <v>70</v>
      </c>
      <c r="C35" t="str">
        <f>shubetsu023&amp;""</f>
        <v/>
      </c>
      <c r="D35" t="str">
        <f>(IF(削除番明[[#This Row],[請求種別]]="2",(LEFT(billid023,10)),billid023))&amp;""</f>
        <v/>
      </c>
      <c r="E35" t="str">
        <f>UPPER(SUBSTITUTE(削除番明[[#This Row],[ご請求番号]],"-",""))</f>
        <v/>
      </c>
      <c r="F35" s="129" t="str">
        <f>keiyakuid023&amp;""</f>
        <v/>
      </c>
      <c r="G35" s="129"/>
      <c r="H35" s="129"/>
      <c r="I35" s="129"/>
      <c r="J35" s="129"/>
      <c r="K35" s="129" t="str">
        <f>belugabun023&amp;""</f>
        <v/>
      </c>
      <c r="L35" t="b">
        <f>IF(oldbillingStationCustomerNumberOnly="",FALSE,shutoku023)</f>
        <v>0</v>
      </c>
    </row>
    <row r="36" spans="1:12">
      <c r="A36">
        <v>24</v>
      </c>
      <c r="B36" t="s">
        <v>70</v>
      </c>
      <c r="C36" t="str">
        <f>shubetsu024&amp;""</f>
        <v/>
      </c>
      <c r="D36" t="str">
        <f>(IF(削除番明[[#This Row],[請求種別]]="2",(LEFT(billid024,10)),billid024))&amp;""</f>
        <v/>
      </c>
      <c r="E36" t="str">
        <f>UPPER(SUBSTITUTE(削除番明[[#This Row],[ご請求番号]],"-",""))</f>
        <v/>
      </c>
      <c r="F36" s="129" t="str">
        <f>keiyakuid024&amp;""</f>
        <v/>
      </c>
      <c r="G36" s="129"/>
      <c r="H36" s="129"/>
      <c r="I36" s="129"/>
      <c r="J36" s="129"/>
      <c r="K36" s="129" t="str">
        <f>belugabun024&amp;""</f>
        <v/>
      </c>
      <c r="L36" t="b">
        <f>IF(oldbillingStationCustomerNumberOnly="",FALSE,shutoku024)</f>
        <v>0</v>
      </c>
    </row>
    <row r="37" spans="1:12">
      <c r="A37">
        <v>25</v>
      </c>
      <c r="B37" t="s">
        <v>70</v>
      </c>
      <c r="C37" t="str">
        <f>shubetsu025&amp;""</f>
        <v/>
      </c>
      <c r="D37" t="str">
        <f>(IF(削除番明[[#This Row],[請求種別]]="2",(LEFT(billid025,10)),billid025))&amp;""</f>
        <v/>
      </c>
      <c r="E37" t="str">
        <f>UPPER(SUBSTITUTE(削除番明[[#This Row],[ご請求番号]],"-",""))</f>
        <v/>
      </c>
      <c r="F37" s="129" t="str">
        <f>keiyakuid025&amp;""</f>
        <v/>
      </c>
      <c r="G37" s="129"/>
      <c r="H37" s="129"/>
      <c r="I37" s="129"/>
      <c r="J37" s="129"/>
      <c r="K37" s="129" t="str">
        <f>belugabun025&amp;""</f>
        <v/>
      </c>
      <c r="L37" t="b">
        <f>IF(oldbillingStationCustomerNumberOnly="",FALSE,shutoku025)</f>
        <v>0</v>
      </c>
    </row>
    <row r="38" spans="1:12">
      <c r="A38">
        <v>26</v>
      </c>
      <c r="B38" t="s">
        <v>70</v>
      </c>
      <c r="C38" t="str">
        <f>shubetsu026&amp;""</f>
        <v/>
      </c>
      <c r="D38" t="str">
        <f>(IF(削除番明[[#This Row],[請求種別]]="2",(LEFT(billid026,10)),billid026))&amp;""</f>
        <v/>
      </c>
      <c r="E38" t="str">
        <f>UPPER(SUBSTITUTE(削除番明[[#This Row],[ご請求番号]],"-",""))</f>
        <v/>
      </c>
      <c r="F38" s="129" t="str">
        <f>keiyakuid026&amp;""</f>
        <v/>
      </c>
      <c r="G38" s="129"/>
      <c r="H38" s="129"/>
      <c r="I38" s="129"/>
      <c r="J38" s="129"/>
      <c r="K38" s="129" t="str">
        <f>belugabun026&amp;""</f>
        <v/>
      </c>
      <c r="L38" t="b">
        <f>IF(oldbillingStationCustomerNumberOnly="",FALSE,shutoku026)</f>
        <v>0</v>
      </c>
    </row>
    <row r="39" spans="1:12">
      <c r="A39">
        <v>27</v>
      </c>
      <c r="B39" t="s">
        <v>70</v>
      </c>
      <c r="C39" t="str">
        <f>shubetsu027&amp;""</f>
        <v/>
      </c>
      <c r="D39" t="str">
        <f>(IF(削除番明[[#This Row],[請求種別]]="2",(LEFT(billid027,10)),billid027))&amp;""</f>
        <v/>
      </c>
      <c r="E39" t="str">
        <f>UPPER(SUBSTITUTE(削除番明[[#This Row],[ご請求番号]],"-",""))</f>
        <v/>
      </c>
      <c r="F39" s="129" t="str">
        <f>keiyakuid027&amp;""</f>
        <v/>
      </c>
      <c r="G39" s="129"/>
      <c r="H39" s="129"/>
      <c r="I39" s="129"/>
      <c r="J39" s="129"/>
      <c r="K39" s="129" t="str">
        <f>belugabun027&amp;""</f>
        <v/>
      </c>
      <c r="L39" t="b">
        <f>IF(oldbillingStationCustomerNumberOnly="",FALSE,shutoku027)</f>
        <v>0</v>
      </c>
    </row>
    <row r="40" spans="1:12">
      <c r="A40">
        <v>28</v>
      </c>
      <c r="B40" t="s">
        <v>70</v>
      </c>
      <c r="C40" t="str">
        <f>shubetsu028&amp;""</f>
        <v/>
      </c>
      <c r="D40" t="str">
        <f>(IF(削除番明[[#This Row],[請求種別]]="2",(LEFT(billid028,10)),billid028))&amp;""</f>
        <v/>
      </c>
      <c r="E40" t="str">
        <f>UPPER(SUBSTITUTE(削除番明[[#This Row],[ご請求番号]],"-",""))</f>
        <v/>
      </c>
      <c r="F40" s="129" t="str">
        <f>keiyakuid028&amp;""</f>
        <v/>
      </c>
      <c r="G40" s="129"/>
      <c r="H40" s="129"/>
      <c r="I40" s="129"/>
      <c r="J40" s="129"/>
      <c r="K40" s="129" t="str">
        <f>belugabun028&amp;""</f>
        <v/>
      </c>
      <c r="L40" t="b">
        <f>IF(oldbillingStationCustomerNumberOnly="",FALSE,shutoku028)</f>
        <v>0</v>
      </c>
    </row>
    <row r="41" spans="1:12">
      <c r="A41">
        <v>29</v>
      </c>
      <c r="B41" t="s">
        <v>70</v>
      </c>
      <c r="C41" t="str">
        <f>shubetsu029&amp;""</f>
        <v/>
      </c>
      <c r="D41" t="str">
        <f>(IF(削除番明[[#This Row],[請求種別]]="2",(LEFT(billid029,10)),billid029))&amp;""</f>
        <v/>
      </c>
      <c r="E41" t="str">
        <f>UPPER(SUBSTITUTE(削除番明[[#This Row],[ご請求番号]],"-",""))</f>
        <v/>
      </c>
      <c r="F41" s="129" t="str">
        <f>keiyakuid029&amp;""</f>
        <v/>
      </c>
      <c r="G41" s="129"/>
      <c r="H41" s="129"/>
      <c r="I41" s="129"/>
      <c r="J41" s="129"/>
      <c r="K41" s="129" t="str">
        <f>belugabun029&amp;""</f>
        <v/>
      </c>
      <c r="L41" t="b">
        <f>IF(oldbillingStationCustomerNumberOnly="",FALSE,shutoku029)</f>
        <v>0</v>
      </c>
    </row>
    <row r="42" spans="1:12">
      <c r="A42">
        <v>30</v>
      </c>
      <c r="B42" t="s">
        <v>70</v>
      </c>
      <c r="C42" t="str">
        <f>shubetsu030&amp;""</f>
        <v/>
      </c>
      <c r="D42" t="str">
        <f>(IF(削除番明[[#This Row],[請求種別]]="2",(LEFT(billid030,10)),billid030))&amp;""</f>
        <v/>
      </c>
      <c r="E42" t="str">
        <f>UPPER(SUBSTITUTE(削除番明[[#This Row],[ご請求番号]],"-",""))</f>
        <v/>
      </c>
      <c r="F42" s="129" t="str">
        <f>keiyakuid030&amp;""</f>
        <v/>
      </c>
      <c r="G42" s="129"/>
      <c r="H42" s="129"/>
      <c r="I42" s="129"/>
      <c r="J42" s="129"/>
      <c r="K42" s="129" t="str">
        <f>belugabun030&amp;""</f>
        <v/>
      </c>
      <c r="L42" t="b">
        <f>IF(oldbillingStationCustomerNumberOnly="",FALSE,shutoku030)</f>
        <v>0</v>
      </c>
    </row>
    <row r="43" spans="1:12">
      <c r="A43">
        <v>31</v>
      </c>
      <c r="B43" t="s">
        <v>70</v>
      </c>
      <c r="C43" t="str">
        <f>shubetsu031&amp;""</f>
        <v/>
      </c>
      <c r="D43" t="str">
        <f>(IF(削除番明[[#This Row],[請求種別]]="2",(LEFT(billid031,10)),billid031))&amp;""</f>
        <v/>
      </c>
      <c r="E43" t="str">
        <f>UPPER(SUBSTITUTE(削除番明[[#This Row],[ご請求番号]],"-",""))</f>
        <v/>
      </c>
      <c r="F43" s="129" t="str">
        <f>keiyakuid031&amp;""</f>
        <v/>
      </c>
      <c r="G43" s="129"/>
      <c r="H43" s="129"/>
      <c r="I43" s="129"/>
      <c r="J43" s="129"/>
      <c r="K43" s="129" t="str">
        <f>belugabun031&amp;""</f>
        <v/>
      </c>
      <c r="L43" t="b">
        <f>IF(oldbillingStationCustomerNumberOnly="",FALSE,shutoku031)</f>
        <v>0</v>
      </c>
    </row>
    <row r="44" spans="1:12">
      <c r="A44">
        <v>32</v>
      </c>
      <c r="B44" t="s">
        <v>70</v>
      </c>
      <c r="C44" t="str">
        <f>shubetsu032&amp;""</f>
        <v/>
      </c>
      <c r="D44" t="str">
        <f>(IF(削除番明[[#This Row],[請求種別]]="2",(LEFT(billid032,10)),billid032))&amp;""</f>
        <v/>
      </c>
      <c r="E44" t="str">
        <f>UPPER(SUBSTITUTE(削除番明[[#This Row],[ご請求番号]],"-",""))</f>
        <v/>
      </c>
      <c r="F44" s="129" t="str">
        <f>keiyakuid032&amp;""</f>
        <v/>
      </c>
      <c r="G44" s="129"/>
      <c r="H44" s="129"/>
      <c r="I44" s="129"/>
      <c r="J44" s="129"/>
      <c r="K44" s="129" t="str">
        <f>belugabun032&amp;""</f>
        <v/>
      </c>
      <c r="L44" t="b">
        <f>IF(oldbillingStationCustomerNumberOnly="",FALSE,shutoku032)</f>
        <v>0</v>
      </c>
    </row>
    <row r="45" spans="1:12">
      <c r="A45">
        <v>33</v>
      </c>
      <c r="B45" t="s">
        <v>70</v>
      </c>
      <c r="C45" t="str">
        <f>shubetsu033&amp;""</f>
        <v/>
      </c>
      <c r="D45" t="str">
        <f>(IF(削除番明[[#This Row],[請求種別]]="2",(LEFT(billid033,10)),billid033))&amp;""</f>
        <v/>
      </c>
      <c r="E45" t="str">
        <f>UPPER(SUBSTITUTE(削除番明[[#This Row],[ご請求番号]],"-",""))</f>
        <v/>
      </c>
      <c r="F45" s="129" t="str">
        <f>keiyakuid033&amp;""</f>
        <v/>
      </c>
      <c r="G45" s="129"/>
      <c r="H45" s="129"/>
      <c r="I45" s="129"/>
      <c r="J45" s="129"/>
      <c r="K45" s="129" t="str">
        <f>belugabun033&amp;""</f>
        <v/>
      </c>
      <c r="L45" t="b">
        <f>IF(oldbillingStationCustomerNumberOnly="",FALSE,shutoku033)</f>
        <v>0</v>
      </c>
    </row>
    <row r="46" spans="1:12">
      <c r="A46">
        <v>34</v>
      </c>
      <c r="B46" t="s">
        <v>70</v>
      </c>
      <c r="C46" t="str">
        <f>shubetsu034&amp;""</f>
        <v/>
      </c>
      <c r="D46" t="str">
        <f>(IF(削除番明[[#This Row],[請求種別]]="2",(LEFT(billid034,10)),billid034))&amp;""</f>
        <v/>
      </c>
      <c r="E46" t="str">
        <f>UPPER(SUBSTITUTE(削除番明[[#This Row],[ご請求番号]],"-",""))</f>
        <v/>
      </c>
      <c r="F46" s="129" t="str">
        <f>keiyakuid034&amp;""</f>
        <v/>
      </c>
      <c r="G46" s="129"/>
      <c r="H46" s="129"/>
      <c r="I46" s="129"/>
      <c r="J46" s="129"/>
      <c r="K46" s="129" t="str">
        <f>belugabun034&amp;""</f>
        <v/>
      </c>
      <c r="L46" t="b">
        <f>IF(oldbillingStationCustomerNumberOnly="",FALSE,shutoku034)</f>
        <v>0</v>
      </c>
    </row>
    <row r="47" spans="1:12">
      <c r="A47">
        <v>35</v>
      </c>
      <c r="B47" t="s">
        <v>70</v>
      </c>
      <c r="C47" t="str">
        <f>shubetsu035&amp;""</f>
        <v/>
      </c>
      <c r="D47" t="str">
        <f>(IF(削除番明[[#This Row],[請求種別]]="2",(LEFT(billid035,10)),billid035))&amp;""</f>
        <v/>
      </c>
      <c r="E47" t="str">
        <f>UPPER(SUBSTITUTE(削除番明[[#This Row],[ご請求番号]],"-",""))</f>
        <v/>
      </c>
      <c r="F47" s="129" t="str">
        <f>keiyakuid035&amp;""</f>
        <v/>
      </c>
      <c r="G47" s="129"/>
      <c r="H47" s="129"/>
      <c r="I47" s="129"/>
      <c r="J47" s="129"/>
      <c r="K47" s="129" t="str">
        <f>belugabun035&amp;""</f>
        <v/>
      </c>
      <c r="L47" t="b">
        <f>IF(oldbillingStationCustomerNumberOnly="",FALSE,shutoku035)</f>
        <v>0</v>
      </c>
    </row>
    <row r="48" spans="1:12">
      <c r="A48">
        <v>36</v>
      </c>
      <c r="B48" t="s">
        <v>70</v>
      </c>
      <c r="C48" t="str">
        <f>shubetsu036&amp;""</f>
        <v/>
      </c>
      <c r="D48" t="str">
        <f>(IF(削除番明[[#This Row],[請求種別]]="2",(LEFT(billid036,10)),billid036))&amp;""</f>
        <v/>
      </c>
      <c r="E48" t="str">
        <f>UPPER(SUBSTITUTE(削除番明[[#This Row],[ご請求番号]],"-",""))</f>
        <v/>
      </c>
      <c r="F48" s="129" t="str">
        <f>keiyakuid036&amp;""</f>
        <v/>
      </c>
      <c r="G48" s="129"/>
      <c r="H48" s="129"/>
      <c r="I48" s="129"/>
      <c r="J48" s="129"/>
      <c r="K48" s="129" t="str">
        <f>belugabun036&amp;""</f>
        <v/>
      </c>
      <c r="L48" t="b">
        <f>IF(oldbillingStationCustomerNumberOnly="",FALSE,shutoku036)</f>
        <v>0</v>
      </c>
    </row>
    <row r="49" spans="1:12">
      <c r="A49">
        <v>37</v>
      </c>
      <c r="B49" t="s">
        <v>70</v>
      </c>
      <c r="C49" t="str">
        <f>shubetsu037&amp;""</f>
        <v/>
      </c>
      <c r="D49" t="str">
        <f>(IF(削除番明[[#This Row],[請求種別]]="2",(LEFT(billid037,10)),billid037))&amp;""</f>
        <v/>
      </c>
      <c r="E49" t="str">
        <f>UPPER(SUBSTITUTE(削除番明[[#This Row],[ご請求番号]],"-",""))</f>
        <v/>
      </c>
      <c r="F49" s="129" t="str">
        <f>keiyakuid037&amp;""</f>
        <v/>
      </c>
      <c r="G49" s="129"/>
      <c r="H49" s="129"/>
      <c r="I49" s="129"/>
      <c r="J49" s="129"/>
      <c r="K49" s="129" t="str">
        <f>belugabun037&amp;""</f>
        <v/>
      </c>
      <c r="L49" t="b">
        <f>IF(oldbillingStationCustomerNumberOnly="",FALSE,shutoku037)</f>
        <v>0</v>
      </c>
    </row>
    <row r="50" spans="1:12">
      <c r="A50">
        <v>38</v>
      </c>
      <c r="B50" t="s">
        <v>70</v>
      </c>
      <c r="C50" t="str">
        <f>shubetsu038&amp;""</f>
        <v/>
      </c>
      <c r="D50" t="str">
        <f>(IF(削除番明[[#This Row],[請求種別]]="2",(LEFT(billid038,10)),billid038))&amp;""</f>
        <v/>
      </c>
      <c r="E50" t="str">
        <f>UPPER(SUBSTITUTE(削除番明[[#This Row],[ご請求番号]],"-",""))</f>
        <v/>
      </c>
      <c r="F50" s="129" t="str">
        <f>keiyakuid038&amp;""</f>
        <v/>
      </c>
      <c r="G50" s="129"/>
      <c r="H50" s="129"/>
      <c r="I50" s="129"/>
      <c r="J50" s="129"/>
      <c r="K50" s="129" t="str">
        <f>belugabun038&amp;""</f>
        <v/>
      </c>
      <c r="L50" t="b">
        <f>IF(oldbillingStationCustomerNumberOnly="",FALSE,shutoku038)</f>
        <v>0</v>
      </c>
    </row>
    <row r="51" spans="1:12">
      <c r="A51">
        <v>39</v>
      </c>
      <c r="B51" t="s">
        <v>70</v>
      </c>
      <c r="C51" t="str">
        <f>shubetsu039&amp;""</f>
        <v/>
      </c>
      <c r="D51" t="str">
        <f>(IF(削除番明[[#This Row],[請求種別]]="2",(LEFT(billid039,10)),billid039))&amp;""</f>
        <v/>
      </c>
      <c r="E51" t="str">
        <f>UPPER(SUBSTITUTE(削除番明[[#This Row],[ご請求番号]],"-",""))</f>
        <v/>
      </c>
      <c r="F51" s="129" t="str">
        <f>keiyakuid039&amp;""</f>
        <v/>
      </c>
      <c r="G51" s="129"/>
      <c r="H51" s="129"/>
      <c r="I51" s="129"/>
      <c r="J51" s="129"/>
      <c r="K51" s="129" t="str">
        <f>belugabun039&amp;""</f>
        <v/>
      </c>
      <c r="L51" t="b">
        <f>IF(oldbillingStationCustomerNumberOnly="",FALSE,shutoku039)</f>
        <v>0</v>
      </c>
    </row>
    <row r="52" spans="1:12">
      <c r="A52">
        <v>40</v>
      </c>
      <c r="B52" t="s">
        <v>70</v>
      </c>
      <c r="C52" t="str">
        <f>shubetsu040&amp;""</f>
        <v/>
      </c>
      <c r="D52" t="str">
        <f>(IF(削除番明[[#This Row],[請求種別]]="2",(LEFT(billid040,10)),billid040))&amp;""</f>
        <v/>
      </c>
      <c r="E52" t="str">
        <f>UPPER(SUBSTITUTE(削除番明[[#This Row],[ご請求番号]],"-",""))</f>
        <v/>
      </c>
      <c r="F52" s="129" t="str">
        <f>keiyakuid040&amp;""</f>
        <v/>
      </c>
      <c r="G52" s="129"/>
      <c r="H52" s="129"/>
      <c r="I52" s="129"/>
      <c r="J52" s="129"/>
      <c r="K52" s="129" t="str">
        <f>belugabun040&amp;""</f>
        <v/>
      </c>
      <c r="L52" t="b">
        <f>IF(oldbillingStationCustomerNumberOnly="",FALSE,shutoku040)</f>
        <v>0</v>
      </c>
    </row>
    <row r="53" spans="1:12">
      <c r="A53">
        <v>41</v>
      </c>
      <c r="B53" t="s">
        <v>70</v>
      </c>
      <c r="C53" t="str">
        <f>shubetsu041&amp;""</f>
        <v/>
      </c>
      <c r="D53" t="str">
        <f>(IF(削除番明[[#This Row],[請求種別]]="2",(LEFT(billid041,10)),billid041))&amp;""</f>
        <v/>
      </c>
      <c r="E53" t="str">
        <f>UPPER(SUBSTITUTE(削除番明[[#This Row],[ご請求番号]],"-",""))</f>
        <v/>
      </c>
      <c r="F53" s="129" t="str">
        <f>keiyakuid041&amp;""</f>
        <v/>
      </c>
      <c r="G53" s="129"/>
      <c r="H53" s="129"/>
      <c r="I53" s="129"/>
      <c r="J53" s="129"/>
      <c r="K53" s="129" t="str">
        <f>belugabun041&amp;""</f>
        <v/>
      </c>
      <c r="L53" t="b">
        <f>IF(oldbillingStationCustomerNumberOnly="",FALSE,shutoku041)</f>
        <v>0</v>
      </c>
    </row>
    <row r="54" spans="1:12">
      <c r="A54">
        <v>42</v>
      </c>
      <c r="B54" t="s">
        <v>70</v>
      </c>
      <c r="C54" t="str">
        <f>shubetsu042&amp;""</f>
        <v/>
      </c>
      <c r="D54" t="str">
        <f>(IF(削除番明[[#This Row],[請求種別]]="2",(LEFT(billid042,10)),billid042))&amp;""</f>
        <v/>
      </c>
      <c r="E54" t="str">
        <f>UPPER(SUBSTITUTE(削除番明[[#This Row],[ご請求番号]],"-",""))</f>
        <v/>
      </c>
      <c r="F54" s="129" t="str">
        <f>keiyakuid042&amp;""</f>
        <v/>
      </c>
      <c r="G54" s="129"/>
      <c r="H54" s="129"/>
      <c r="I54" s="129"/>
      <c r="J54" s="129"/>
      <c r="K54" s="129" t="str">
        <f>belugabun042&amp;""</f>
        <v/>
      </c>
      <c r="L54" t="b">
        <f>IF(oldbillingStationCustomerNumberOnly="",FALSE,shutoku042)</f>
        <v>0</v>
      </c>
    </row>
    <row r="55" spans="1:12">
      <c r="A55">
        <v>43</v>
      </c>
      <c r="B55" t="s">
        <v>70</v>
      </c>
      <c r="C55" t="str">
        <f>shubetsu043&amp;""</f>
        <v/>
      </c>
      <c r="D55" t="str">
        <f>(IF(削除番明[[#This Row],[請求種別]]="2",(LEFT(billid043,10)),billid043))&amp;""</f>
        <v/>
      </c>
      <c r="E55" t="str">
        <f>UPPER(SUBSTITUTE(削除番明[[#This Row],[ご請求番号]],"-",""))</f>
        <v/>
      </c>
      <c r="F55" s="129" t="str">
        <f>keiyakuid043&amp;""</f>
        <v/>
      </c>
      <c r="G55" s="129"/>
      <c r="H55" s="129"/>
      <c r="I55" s="129"/>
      <c r="J55" s="129"/>
      <c r="K55" s="129" t="str">
        <f>belugabun043&amp;""</f>
        <v/>
      </c>
      <c r="L55" t="b">
        <f>IF(oldbillingStationCustomerNumberOnly="",FALSE,shutoku043)</f>
        <v>0</v>
      </c>
    </row>
    <row r="56" spans="1:12">
      <c r="A56">
        <v>44</v>
      </c>
      <c r="B56" t="s">
        <v>70</v>
      </c>
      <c r="C56" t="str">
        <f>shubetsu044&amp;""</f>
        <v/>
      </c>
      <c r="D56" t="str">
        <f>(IF(削除番明[[#This Row],[請求種別]]="2",(LEFT(billid044,10)),billid044))&amp;""</f>
        <v/>
      </c>
      <c r="E56" t="str">
        <f>UPPER(SUBSTITUTE(削除番明[[#This Row],[ご請求番号]],"-",""))</f>
        <v/>
      </c>
      <c r="F56" s="129" t="str">
        <f>keiyakuid044&amp;""</f>
        <v/>
      </c>
      <c r="G56" s="129"/>
      <c r="H56" s="129"/>
      <c r="I56" s="129"/>
      <c r="J56" s="129"/>
      <c r="K56" s="129" t="str">
        <f>belugabun044&amp;""</f>
        <v/>
      </c>
      <c r="L56" t="b">
        <f>IF(oldbillingStationCustomerNumberOnly="",FALSE,shutoku044)</f>
        <v>0</v>
      </c>
    </row>
    <row r="57" spans="1:12">
      <c r="A57">
        <v>45</v>
      </c>
      <c r="B57" t="s">
        <v>70</v>
      </c>
      <c r="C57" t="str">
        <f>shubetsu045&amp;""</f>
        <v/>
      </c>
      <c r="D57" t="str">
        <f>(IF(削除番明[[#This Row],[請求種別]]="2",(LEFT(billid045,10)),billid045))&amp;""</f>
        <v/>
      </c>
      <c r="E57" t="str">
        <f>UPPER(SUBSTITUTE(削除番明[[#This Row],[ご請求番号]],"-",""))</f>
        <v/>
      </c>
      <c r="F57" s="129" t="str">
        <f>keiyakuid045&amp;""</f>
        <v/>
      </c>
      <c r="G57" s="129"/>
      <c r="H57" s="129"/>
      <c r="I57" s="129"/>
      <c r="J57" s="129"/>
      <c r="K57" s="129" t="str">
        <f>belugabun045&amp;""</f>
        <v/>
      </c>
      <c r="L57" t="b">
        <f>IF(oldbillingStationCustomerNumberOnly="",FALSE,shutoku045)</f>
        <v>0</v>
      </c>
    </row>
    <row r="58" spans="1:12">
      <c r="A58">
        <v>46</v>
      </c>
      <c r="B58" t="s">
        <v>70</v>
      </c>
      <c r="C58" t="str">
        <f>shubetsu046&amp;""</f>
        <v/>
      </c>
      <c r="D58" t="str">
        <f>(IF(削除番明[[#This Row],[請求種別]]="2",(LEFT(billid046,10)),billid046))&amp;""</f>
        <v/>
      </c>
      <c r="E58" t="str">
        <f>UPPER(SUBSTITUTE(削除番明[[#This Row],[ご請求番号]],"-",""))</f>
        <v/>
      </c>
      <c r="F58" s="129" t="str">
        <f>keiyakuid046&amp;""</f>
        <v/>
      </c>
      <c r="G58" s="129"/>
      <c r="H58" s="129"/>
      <c r="I58" s="129"/>
      <c r="J58" s="129"/>
      <c r="K58" s="129" t="str">
        <f>belugabun046&amp;""</f>
        <v/>
      </c>
      <c r="L58" t="b">
        <f>IF(oldbillingStationCustomerNumberOnly="",FALSE,shutoku046)</f>
        <v>0</v>
      </c>
    </row>
    <row r="59" spans="1:12">
      <c r="A59">
        <v>47</v>
      </c>
      <c r="B59" t="s">
        <v>70</v>
      </c>
      <c r="C59" t="str">
        <f>shubetsu047&amp;""</f>
        <v/>
      </c>
      <c r="D59" t="str">
        <f>(IF(削除番明[[#This Row],[請求種別]]="2",(LEFT(billid047,10)),billid047))&amp;""</f>
        <v/>
      </c>
      <c r="E59" t="str">
        <f>UPPER(SUBSTITUTE(削除番明[[#This Row],[ご請求番号]],"-",""))</f>
        <v/>
      </c>
      <c r="F59" s="129" t="str">
        <f>keiyakuid047&amp;""</f>
        <v/>
      </c>
      <c r="G59" s="129"/>
      <c r="H59" s="129"/>
      <c r="I59" s="129"/>
      <c r="J59" s="129"/>
      <c r="K59" s="129" t="str">
        <f>belugabun047&amp;""</f>
        <v/>
      </c>
      <c r="L59" t="b">
        <f>IF(oldbillingStationCustomerNumberOnly="",FALSE,shutoku047)</f>
        <v>0</v>
      </c>
    </row>
    <row r="60" spans="1:12">
      <c r="A60">
        <v>48</v>
      </c>
      <c r="B60" t="s">
        <v>70</v>
      </c>
      <c r="C60" t="str">
        <f>shubetsu048&amp;""</f>
        <v/>
      </c>
      <c r="D60" t="str">
        <f>(IF(削除番明[[#This Row],[請求種別]]="2",(LEFT(billid048,10)),billid048))&amp;""</f>
        <v/>
      </c>
      <c r="E60" t="str">
        <f>UPPER(SUBSTITUTE(削除番明[[#This Row],[ご請求番号]],"-",""))</f>
        <v/>
      </c>
      <c r="F60" s="129" t="str">
        <f>keiyakuid048&amp;""</f>
        <v/>
      </c>
      <c r="G60" s="129"/>
      <c r="H60" s="129"/>
      <c r="I60" s="129"/>
      <c r="J60" s="129"/>
      <c r="K60" s="129" t="str">
        <f>belugabun048&amp;""</f>
        <v/>
      </c>
      <c r="L60" t="b">
        <f>IF(oldbillingStationCustomerNumberOnly="",FALSE,shutoku048)</f>
        <v>0</v>
      </c>
    </row>
    <row r="61" spans="1:12">
      <c r="A61">
        <v>49</v>
      </c>
      <c r="B61" t="s">
        <v>70</v>
      </c>
      <c r="C61" t="str">
        <f>shubetsu049&amp;""</f>
        <v/>
      </c>
      <c r="D61" t="str">
        <f>(IF(削除番明[[#This Row],[請求種別]]="2",(LEFT(billid049,10)),billid049))&amp;""</f>
        <v/>
      </c>
      <c r="E61" t="str">
        <f>UPPER(SUBSTITUTE(削除番明[[#This Row],[ご請求番号]],"-",""))</f>
        <v/>
      </c>
      <c r="F61" s="129" t="str">
        <f>keiyakuid049&amp;""</f>
        <v/>
      </c>
      <c r="G61" s="129"/>
      <c r="H61" s="129"/>
      <c r="I61" s="129"/>
      <c r="J61" s="129"/>
      <c r="K61" s="129" t="str">
        <f>belugabun049&amp;""</f>
        <v/>
      </c>
      <c r="L61" t="b">
        <f>IF(oldbillingStationCustomerNumberOnly="",FALSE,shutoku049)</f>
        <v>0</v>
      </c>
    </row>
    <row r="62" spans="1:12">
      <c r="A62">
        <v>50</v>
      </c>
      <c r="B62" t="s">
        <v>70</v>
      </c>
      <c r="C62" t="str">
        <f>shubetsu050&amp;""</f>
        <v/>
      </c>
      <c r="D62" t="str">
        <f>(IF(削除番明[[#This Row],[請求種別]]="2",(LEFT(billid050,10)),billid050))&amp;""</f>
        <v/>
      </c>
      <c r="E62" t="str">
        <f>UPPER(SUBSTITUTE(削除番明[[#This Row],[ご請求番号]],"-",""))</f>
        <v/>
      </c>
      <c r="F62" s="129" t="str">
        <f>keiyakuid050&amp;""</f>
        <v/>
      </c>
      <c r="G62" s="129"/>
      <c r="H62" s="129"/>
      <c r="I62" s="129"/>
      <c r="J62" s="129"/>
      <c r="K62" s="129" t="str">
        <f>belugabun050&amp;""</f>
        <v/>
      </c>
      <c r="L62" t="b">
        <f>IF(oldbillingStationCustomerNumberOnly="",FALSE,shutoku050)</f>
        <v>0</v>
      </c>
    </row>
    <row r="63" spans="1:12">
      <c r="A63">
        <v>51</v>
      </c>
      <c r="B63" t="s">
        <v>70</v>
      </c>
      <c r="C63" t="str">
        <f>shubetsu051&amp;""</f>
        <v/>
      </c>
      <c r="D63" t="str">
        <f>(IF(削除番明[[#This Row],[請求種別]]="2",(LEFT(billid051,10)),billid051))&amp;""</f>
        <v/>
      </c>
      <c r="E63" t="str">
        <f>UPPER(SUBSTITUTE(削除番明[[#This Row],[ご請求番号]],"-",""))</f>
        <v/>
      </c>
      <c r="F63" s="129" t="str">
        <f>keiyakuid051&amp;""</f>
        <v/>
      </c>
      <c r="G63" s="129"/>
      <c r="H63" s="129"/>
      <c r="I63" s="129"/>
      <c r="J63" s="129"/>
      <c r="K63" s="129" t="str">
        <f>belugabun051&amp;""</f>
        <v/>
      </c>
      <c r="L63" t="b">
        <f>IF(oldbillingStationCustomerNumberOnly="",FALSE,shutoku051)</f>
        <v>0</v>
      </c>
    </row>
    <row r="64" spans="1:12">
      <c r="A64">
        <v>52</v>
      </c>
      <c r="B64" t="s">
        <v>70</v>
      </c>
      <c r="C64" t="str">
        <f>shubetsu052&amp;""</f>
        <v/>
      </c>
      <c r="D64" t="str">
        <f>(IF(削除番明[[#This Row],[請求種別]]="2",(LEFT(billid052,10)),billid052))&amp;""</f>
        <v/>
      </c>
      <c r="E64" t="str">
        <f>UPPER(SUBSTITUTE(削除番明[[#This Row],[ご請求番号]],"-",""))</f>
        <v/>
      </c>
      <c r="F64" s="129" t="str">
        <f>keiyakuid052&amp;""</f>
        <v/>
      </c>
      <c r="G64" s="129"/>
      <c r="H64" s="129"/>
      <c r="I64" s="129"/>
      <c r="J64" s="129"/>
      <c r="K64" s="129" t="str">
        <f>belugabun052&amp;""</f>
        <v/>
      </c>
      <c r="L64" t="b">
        <f>IF(oldbillingStationCustomerNumberOnly="",FALSE,shutoku052)</f>
        <v>0</v>
      </c>
    </row>
    <row r="65" spans="1:12">
      <c r="A65">
        <v>53</v>
      </c>
      <c r="B65" t="s">
        <v>70</v>
      </c>
      <c r="C65" t="str">
        <f>shubetsu053&amp;""</f>
        <v/>
      </c>
      <c r="D65" t="str">
        <f>(IF(削除番明[[#This Row],[請求種別]]="2",(LEFT(billid053,10)),billid053))&amp;""</f>
        <v/>
      </c>
      <c r="E65" t="str">
        <f>UPPER(SUBSTITUTE(削除番明[[#This Row],[ご請求番号]],"-",""))</f>
        <v/>
      </c>
      <c r="F65" s="129" t="str">
        <f>keiyakuid053&amp;""</f>
        <v/>
      </c>
      <c r="G65" s="129"/>
      <c r="H65" s="129"/>
      <c r="I65" s="129"/>
      <c r="J65" s="129"/>
      <c r="K65" s="129" t="str">
        <f>belugabun053&amp;""</f>
        <v/>
      </c>
      <c r="L65" t="b">
        <f>IF(oldbillingStationCustomerNumberOnly="",FALSE,shutoku053)</f>
        <v>0</v>
      </c>
    </row>
    <row r="66" spans="1:12">
      <c r="A66">
        <v>54</v>
      </c>
      <c r="B66" t="s">
        <v>70</v>
      </c>
      <c r="C66" t="str">
        <f>shubetsu054&amp;""</f>
        <v/>
      </c>
      <c r="D66" t="str">
        <f>(IF(削除番明[[#This Row],[請求種別]]="2",(LEFT(billid054,10)),billid054))&amp;""</f>
        <v/>
      </c>
      <c r="E66" t="str">
        <f>UPPER(SUBSTITUTE(削除番明[[#This Row],[ご請求番号]],"-",""))</f>
        <v/>
      </c>
      <c r="F66" s="129" t="str">
        <f>keiyakuid054&amp;""</f>
        <v/>
      </c>
      <c r="G66" s="129"/>
      <c r="H66" s="129"/>
      <c r="I66" s="129"/>
      <c r="J66" s="129"/>
      <c r="K66" s="129" t="str">
        <f>belugabun054&amp;""</f>
        <v/>
      </c>
      <c r="L66" t="b">
        <f>IF(oldbillingStationCustomerNumberOnly="",FALSE,shutoku054)</f>
        <v>0</v>
      </c>
    </row>
    <row r="67" spans="1:12">
      <c r="A67">
        <v>55</v>
      </c>
      <c r="B67" t="s">
        <v>70</v>
      </c>
      <c r="C67" t="str">
        <f>shubetsu055&amp;""</f>
        <v/>
      </c>
      <c r="D67" t="str">
        <f>(IF(削除番明[[#This Row],[請求種別]]="2",(LEFT(billid055,10)),billid055))&amp;""</f>
        <v/>
      </c>
      <c r="E67" t="str">
        <f>UPPER(SUBSTITUTE(削除番明[[#This Row],[ご請求番号]],"-",""))</f>
        <v/>
      </c>
      <c r="F67" s="129" t="str">
        <f>keiyakuid055&amp;""</f>
        <v/>
      </c>
      <c r="G67" s="129"/>
      <c r="H67" s="129"/>
      <c r="I67" s="129"/>
      <c r="J67" s="129"/>
      <c r="K67" s="129" t="str">
        <f>belugabun055&amp;""</f>
        <v/>
      </c>
      <c r="L67" t="b">
        <f>IF(oldbillingStationCustomerNumberOnly="",FALSE,shutoku055)</f>
        <v>0</v>
      </c>
    </row>
    <row r="68" spans="1:12">
      <c r="A68">
        <v>56</v>
      </c>
      <c r="B68" t="s">
        <v>70</v>
      </c>
      <c r="C68" t="str">
        <f>shubetsu056&amp;""</f>
        <v/>
      </c>
      <c r="D68" t="str">
        <f>(IF(削除番明[[#This Row],[請求種別]]="2",(LEFT(billid056,10)),billid056))&amp;""</f>
        <v/>
      </c>
      <c r="E68" t="str">
        <f>UPPER(SUBSTITUTE(削除番明[[#This Row],[ご請求番号]],"-",""))</f>
        <v/>
      </c>
      <c r="F68" s="129" t="str">
        <f>keiyakuid056&amp;""</f>
        <v/>
      </c>
      <c r="G68" s="129"/>
      <c r="H68" s="129"/>
      <c r="I68" s="129"/>
      <c r="J68" s="129"/>
      <c r="K68" s="129" t="str">
        <f>belugabun056&amp;""</f>
        <v/>
      </c>
      <c r="L68" t="b">
        <f>IF(oldbillingStationCustomerNumberOnly="",FALSE,shutoku056)</f>
        <v>0</v>
      </c>
    </row>
    <row r="69" spans="1:12">
      <c r="A69">
        <v>57</v>
      </c>
      <c r="B69" t="s">
        <v>70</v>
      </c>
      <c r="C69" t="str">
        <f>shubetsu057&amp;""</f>
        <v/>
      </c>
      <c r="D69" t="str">
        <f>(IF(削除番明[[#This Row],[請求種別]]="2",(LEFT(billid057,10)),billid057))&amp;""</f>
        <v/>
      </c>
      <c r="E69" t="str">
        <f>UPPER(SUBSTITUTE(削除番明[[#This Row],[ご請求番号]],"-",""))</f>
        <v/>
      </c>
      <c r="F69" s="129" t="str">
        <f>keiyakuid057&amp;""</f>
        <v/>
      </c>
      <c r="G69" s="129"/>
      <c r="H69" s="129"/>
      <c r="I69" s="129"/>
      <c r="J69" s="129"/>
      <c r="K69" s="129" t="str">
        <f>belugabun057&amp;""</f>
        <v/>
      </c>
      <c r="L69" t="b">
        <f>IF(oldbillingStationCustomerNumberOnly="",FALSE,shutoku057)</f>
        <v>0</v>
      </c>
    </row>
    <row r="70" spans="1:12">
      <c r="A70">
        <v>58</v>
      </c>
      <c r="B70" t="s">
        <v>70</v>
      </c>
      <c r="C70" t="str">
        <f>shubetsu058&amp;""</f>
        <v/>
      </c>
      <c r="D70" t="str">
        <f>(IF(削除番明[[#This Row],[請求種別]]="2",(LEFT(billid058,10)),billid058))&amp;""</f>
        <v/>
      </c>
      <c r="E70" t="str">
        <f>UPPER(SUBSTITUTE(削除番明[[#This Row],[ご請求番号]],"-",""))</f>
        <v/>
      </c>
      <c r="F70" s="129" t="str">
        <f>keiyakuid058&amp;""</f>
        <v/>
      </c>
      <c r="G70" s="129"/>
      <c r="H70" s="129"/>
      <c r="I70" s="129"/>
      <c r="J70" s="129"/>
      <c r="K70" s="129" t="str">
        <f>belugabun058&amp;""</f>
        <v/>
      </c>
      <c r="L70" t="b">
        <f>IF(oldbillingStationCustomerNumberOnly="",FALSE,shutoku058)</f>
        <v>0</v>
      </c>
    </row>
    <row r="71" spans="1:12">
      <c r="A71">
        <v>59</v>
      </c>
      <c r="B71" t="s">
        <v>70</v>
      </c>
      <c r="C71" t="str">
        <f>shubetsu059&amp;""</f>
        <v/>
      </c>
      <c r="D71" t="str">
        <f>(IF(削除番明[[#This Row],[請求種別]]="2",(LEFT(billid059,10)),billid059))&amp;""</f>
        <v/>
      </c>
      <c r="E71" t="str">
        <f>UPPER(SUBSTITUTE(削除番明[[#This Row],[ご請求番号]],"-",""))</f>
        <v/>
      </c>
      <c r="F71" s="129" t="str">
        <f>keiyakuid059&amp;""</f>
        <v/>
      </c>
      <c r="G71" s="129"/>
      <c r="H71" s="129"/>
      <c r="I71" s="129"/>
      <c r="J71" s="129"/>
      <c r="K71" s="129" t="str">
        <f>belugabun059&amp;""</f>
        <v/>
      </c>
      <c r="L71" t="b">
        <f>IF(oldbillingStationCustomerNumberOnly="",FALSE,shutoku059)</f>
        <v>0</v>
      </c>
    </row>
    <row r="72" spans="1:12">
      <c r="A72">
        <v>60</v>
      </c>
      <c r="B72" t="s">
        <v>70</v>
      </c>
      <c r="C72" t="str">
        <f>shubetsu060&amp;""</f>
        <v/>
      </c>
      <c r="D72" t="str">
        <f>(IF(削除番明[[#This Row],[請求種別]]="2",(LEFT(billid060,10)),billid060))&amp;""</f>
        <v/>
      </c>
      <c r="E72" t="str">
        <f>UPPER(SUBSTITUTE(削除番明[[#This Row],[ご請求番号]],"-",""))</f>
        <v/>
      </c>
      <c r="F72" s="129" t="str">
        <f>keiyakuid060&amp;""</f>
        <v/>
      </c>
      <c r="G72" s="129"/>
      <c r="H72" s="129"/>
      <c r="I72" s="129"/>
      <c r="J72" s="129"/>
      <c r="K72" s="129" t="str">
        <f>belugabun060&amp;""</f>
        <v/>
      </c>
      <c r="L72" t="b">
        <f>IF(oldbillingStationCustomerNumberOnly="",FALSE,shutoku060)</f>
        <v>0</v>
      </c>
    </row>
    <row r="73" spans="1:12">
      <c r="A73">
        <v>61</v>
      </c>
      <c r="B73" t="s">
        <v>70</v>
      </c>
      <c r="C73" t="str">
        <f>shubetsu061&amp;""</f>
        <v/>
      </c>
      <c r="D73" t="str">
        <f>(IF(削除番明[[#This Row],[請求種別]]="2",(LEFT(billid061,10)),billid061))&amp;""</f>
        <v/>
      </c>
      <c r="E73" t="str">
        <f>UPPER(SUBSTITUTE(削除番明[[#This Row],[ご請求番号]],"-",""))</f>
        <v/>
      </c>
      <c r="F73" s="129" t="str">
        <f>keiyakuid061&amp;""</f>
        <v/>
      </c>
      <c r="G73" s="129"/>
      <c r="H73" s="129"/>
      <c r="I73" s="129"/>
      <c r="J73" s="129"/>
      <c r="K73" s="129" t="str">
        <f>belugabun061&amp;""</f>
        <v/>
      </c>
      <c r="L73" t="b">
        <f>IF(oldbillingStationCustomerNumberOnly="",FALSE,shutoku061)</f>
        <v>0</v>
      </c>
    </row>
    <row r="74" spans="1:12">
      <c r="A74">
        <v>62</v>
      </c>
      <c r="B74" t="s">
        <v>70</v>
      </c>
      <c r="C74" t="str">
        <f>shubetsu062&amp;""</f>
        <v/>
      </c>
      <c r="D74" t="str">
        <f>(IF(削除番明[[#This Row],[請求種別]]="2",(LEFT(billid062,10)),billid062))&amp;""</f>
        <v/>
      </c>
      <c r="E74" t="str">
        <f>UPPER(SUBSTITUTE(削除番明[[#This Row],[ご請求番号]],"-",""))</f>
        <v/>
      </c>
      <c r="F74" s="129" t="str">
        <f>keiyakuid062&amp;""</f>
        <v/>
      </c>
      <c r="G74" s="129"/>
      <c r="H74" s="129"/>
      <c r="I74" s="129"/>
      <c r="J74" s="129"/>
      <c r="K74" s="129" t="str">
        <f>belugabun062&amp;""</f>
        <v/>
      </c>
      <c r="L74" t="b">
        <f>IF(oldbillingStationCustomerNumberOnly="",FALSE,shutoku062)</f>
        <v>0</v>
      </c>
    </row>
    <row r="75" spans="1:12">
      <c r="A75">
        <v>63</v>
      </c>
      <c r="B75" t="s">
        <v>70</v>
      </c>
      <c r="C75" t="str">
        <f>shubetsu063&amp;""</f>
        <v/>
      </c>
      <c r="D75" t="str">
        <f>(IF(削除番明[[#This Row],[請求種別]]="2",(LEFT(billid063,10)),billid063))&amp;""</f>
        <v/>
      </c>
      <c r="E75" t="str">
        <f>UPPER(SUBSTITUTE(削除番明[[#This Row],[ご請求番号]],"-",""))</f>
        <v/>
      </c>
      <c r="F75" s="129" t="str">
        <f>keiyakuid063&amp;""</f>
        <v/>
      </c>
      <c r="G75" s="129"/>
      <c r="H75" s="129"/>
      <c r="I75" s="129"/>
      <c r="J75" s="129"/>
      <c r="K75" s="129" t="str">
        <f>belugabun063&amp;""</f>
        <v/>
      </c>
      <c r="L75" t="b">
        <f>IF(oldbillingStationCustomerNumberOnly="",FALSE,shutoku063)</f>
        <v>0</v>
      </c>
    </row>
    <row r="76" spans="1:12">
      <c r="A76">
        <v>64</v>
      </c>
      <c r="B76" t="s">
        <v>70</v>
      </c>
      <c r="C76" t="str">
        <f>shubetsu064&amp;""</f>
        <v/>
      </c>
      <c r="D76" t="str">
        <f>(IF(削除番明[[#This Row],[請求種別]]="2",(LEFT(billid064,10)),billid064))&amp;""</f>
        <v/>
      </c>
      <c r="E76" t="str">
        <f>UPPER(SUBSTITUTE(削除番明[[#This Row],[ご請求番号]],"-",""))</f>
        <v/>
      </c>
      <c r="F76" s="129" t="str">
        <f>keiyakuid064&amp;""</f>
        <v/>
      </c>
      <c r="G76" s="129"/>
      <c r="H76" s="129"/>
      <c r="I76" s="129"/>
      <c r="J76" s="129"/>
      <c r="K76" s="129" t="str">
        <f>belugabun064&amp;""</f>
        <v/>
      </c>
      <c r="L76" t="b">
        <f>IF(oldbillingStationCustomerNumberOnly="",FALSE,shutoku064)</f>
        <v>0</v>
      </c>
    </row>
    <row r="77" spans="1:12">
      <c r="A77">
        <v>65</v>
      </c>
      <c r="B77" t="s">
        <v>70</v>
      </c>
      <c r="C77" t="str">
        <f>shubetsu065&amp;""</f>
        <v/>
      </c>
      <c r="D77" t="str">
        <f>(IF(削除番明[[#This Row],[請求種別]]="2",(LEFT(billid065,10)),billid065))&amp;""</f>
        <v/>
      </c>
      <c r="E77" t="str">
        <f>UPPER(SUBSTITUTE(削除番明[[#This Row],[ご請求番号]],"-",""))</f>
        <v/>
      </c>
      <c r="F77" s="129" t="str">
        <f>keiyakuid065&amp;""</f>
        <v/>
      </c>
      <c r="G77" s="129"/>
      <c r="H77" s="129"/>
      <c r="I77" s="129"/>
      <c r="J77" s="129"/>
      <c r="K77" s="129" t="str">
        <f>belugabun065&amp;""</f>
        <v/>
      </c>
      <c r="L77" t="b">
        <f>IF(oldbillingStationCustomerNumberOnly="",FALSE,shutoku065)</f>
        <v>0</v>
      </c>
    </row>
    <row r="78" spans="1:12">
      <c r="A78">
        <v>66</v>
      </c>
      <c r="B78" t="s">
        <v>70</v>
      </c>
      <c r="C78" t="str">
        <f>shubetsu066&amp;""</f>
        <v/>
      </c>
      <c r="D78" t="str">
        <f>(IF(削除番明[[#This Row],[請求種別]]="2",(LEFT(billid066,10)),billid066))&amp;""</f>
        <v/>
      </c>
      <c r="E78" t="str">
        <f>UPPER(SUBSTITUTE(削除番明[[#This Row],[ご請求番号]],"-",""))</f>
        <v/>
      </c>
      <c r="F78" s="129" t="str">
        <f>keiyakuid066&amp;""</f>
        <v/>
      </c>
      <c r="G78" s="129"/>
      <c r="H78" s="129"/>
      <c r="I78" s="129"/>
      <c r="J78" s="129"/>
      <c r="K78" s="129" t="str">
        <f>belugabun066&amp;""</f>
        <v/>
      </c>
      <c r="L78" t="b">
        <f>IF(oldbillingStationCustomerNumberOnly="",FALSE,shutoku066)</f>
        <v>0</v>
      </c>
    </row>
    <row r="79" spans="1:12">
      <c r="A79">
        <v>67</v>
      </c>
      <c r="B79" t="s">
        <v>70</v>
      </c>
      <c r="C79" t="str">
        <f>shubetsu067&amp;""</f>
        <v/>
      </c>
      <c r="D79" t="str">
        <f>(IF(削除番明[[#This Row],[請求種別]]="2",(LEFT(billid067,10)),billid067))&amp;""</f>
        <v/>
      </c>
      <c r="E79" t="str">
        <f>UPPER(SUBSTITUTE(削除番明[[#This Row],[ご請求番号]],"-",""))</f>
        <v/>
      </c>
      <c r="F79" s="129" t="str">
        <f>keiyakuid067&amp;""</f>
        <v/>
      </c>
      <c r="G79" s="129"/>
      <c r="H79" s="129"/>
      <c r="I79" s="129"/>
      <c r="J79" s="129"/>
      <c r="K79" s="129" t="str">
        <f>belugabun067&amp;""</f>
        <v/>
      </c>
      <c r="L79" t="b">
        <f>IF(oldbillingStationCustomerNumberOnly="",FALSE,shutoku067)</f>
        <v>0</v>
      </c>
    </row>
    <row r="80" spans="1:12">
      <c r="A80">
        <v>68</v>
      </c>
      <c r="B80" t="s">
        <v>70</v>
      </c>
      <c r="C80" t="str">
        <f>shubetsu068&amp;""</f>
        <v/>
      </c>
      <c r="D80" t="str">
        <f>(IF(削除番明[[#This Row],[請求種別]]="2",(LEFT(billid068,10)),billid068))&amp;""</f>
        <v/>
      </c>
      <c r="E80" t="str">
        <f>UPPER(SUBSTITUTE(削除番明[[#This Row],[ご請求番号]],"-",""))</f>
        <v/>
      </c>
      <c r="F80" s="129" t="str">
        <f>keiyakuid068&amp;""</f>
        <v/>
      </c>
      <c r="G80" s="129"/>
      <c r="H80" s="129"/>
      <c r="I80" s="129"/>
      <c r="J80" s="129"/>
      <c r="K80" s="129" t="str">
        <f>belugabun068&amp;""</f>
        <v/>
      </c>
      <c r="L80" t="b">
        <f>IF(oldbillingStationCustomerNumberOnly="",FALSE,shutoku068)</f>
        <v>0</v>
      </c>
    </row>
    <row r="81" spans="1:12">
      <c r="A81">
        <v>69</v>
      </c>
      <c r="B81" t="s">
        <v>70</v>
      </c>
      <c r="C81" t="str">
        <f>shubetsu069&amp;""</f>
        <v/>
      </c>
      <c r="D81" t="str">
        <f>(IF(削除番明[[#This Row],[請求種別]]="2",(LEFT(billid069,10)),billid069))&amp;""</f>
        <v/>
      </c>
      <c r="E81" t="str">
        <f>UPPER(SUBSTITUTE(削除番明[[#This Row],[ご請求番号]],"-",""))</f>
        <v/>
      </c>
      <c r="F81" s="129" t="str">
        <f>keiyakuid069&amp;""</f>
        <v/>
      </c>
      <c r="G81" s="129"/>
      <c r="H81" s="129"/>
      <c r="I81" s="129"/>
      <c r="J81" s="129"/>
      <c r="K81" s="129" t="str">
        <f>belugabun069&amp;""</f>
        <v/>
      </c>
      <c r="L81" t="b">
        <f>IF(oldbillingStationCustomerNumberOnly="",FALSE,shutoku069)</f>
        <v>0</v>
      </c>
    </row>
    <row r="82" spans="1:12">
      <c r="A82">
        <v>70</v>
      </c>
      <c r="B82" t="s">
        <v>70</v>
      </c>
      <c r="C82" t="str">
        <f>shubetsu070&amp;""</f>
        <v/>
      </c>
      <c r="D82" t="str">
        <f>(IF(削除番明[[#This Row],[請求種別]]="2",(LEFT(billid070,10)),billid070))&amp;""</f>
        <v/>
      </c>
      <c r="E82" t="str">
        <f>UPPER(SUBSTITUTE(削除番明[[#This Row],[ご請求番号]],"-",""))</f>
        <v/>
      </c>
      <c r="F82" s="129" t="str">
        <f>keiyakuid070&amp;""</f>
        <v/>
      </c>
      <c r="G82" s="129"/>
      <c r="H82" s="129"/>
      <c r="I82" s="129"/>
      <c r="J82" s="129"/>
      <c r="K82" s="129" t="str">
        <f>belugabun070&amp;""</f>
        <v/>
      </c>
      <c r="L82" t="b">
        <f>IF(oldbillingStationCustomerNumberOnly="",FALSE,shutoku070)</f>
        <v>0</v>
      </c>
    </row>
    <row r="83" spans="1:12">
      <c r="A83">
        <v>71</v>
      </c>
      <c r="B83" t="s">
        <v>70</v>
      </c>
      <c r="C83" t="str">
        <f>shubetsu071&amp;""</f>
        <v/>
      </c>
      <c r="D83" t="str">
        <f>(IF(削除番明[[#This Row],[請求種別]]="2",(LEFT(billid071,10)),billid071))&amp;""</f>
        <v/>
      </c>
      <c r="E83" t="str">
        <f>UPPER(SUBSTITUTE(削除番明[[#This Row],[ご請求番号]],"-",""))</f>
        <v/>
      </c>
      <c r="F83" s="129" t="str">
        <f>keiyakuid071&amp;""</f>
        <v/>
      </c>
      <c r="G83" s="129"/>
      <c r="H83" s="129"/>
      <c r="I83" s="129"/>
      <c r="J83" s="129"/>
      <c r="K83" s="129" t="str">
        <f>belugabun071&amp;""</f>
        <v/>
      </c>
      <c r="L83" t="b">
        <f>IF(oldbillingStationCustomerNumberOnly="",FALSE,shutoku071)</f>
        <v>0</v>
      </c>
    </row>
    <row r="84" spans="1:12">
      <c r="A84">
        <v>72</v>
      </c>
      <c r="B84" t="s">
        <v>70</v>
      </c>
      <c r="C84" t="str">
        <f>shubetsu072&amp;""</f>
        <v/>
      </c>
      <c r="D84" t="str">
        <f>(IF(削除番明[[#This Row],[請求種別]]="2",(LEFT(billid072,10)),billid072))&amp;""</f>
        <v/>
      </c>
      <c r="E84" t="str">
        <f>UPPER(SUBSTITUTE(削除番明[[#This Row],[ご請求番号]],"-",""))</f>
        <v/>
      </c>
      <c r="F84" s="129" t="str">
        <f>keiyakuid072&amp;""</f>
        <v/>
      </c>
      <c r="G84" s="129"/>
      <c r="H84" s="129"/>
      <c r="I84" s="129"/>
      <c r="J84" s="129"/>
      <c r="K84" s="129" t="str">
        <f>belugabun072&amp;""</f>
        <v/>
      </c>
      <c r="L84" t="b">
        <f>IF(oldbillingStationCustomerNumberOnly="",FALSE,shutoku072)</f>
        <v>0</v>
      </c>
    </row>
    <row r="85" spans="1:12">
      <c r="A85">
        <v>73</v>
      </c>
      <c r="B85" t="s">
        <v>70</v>
      </c>
      <c r="C85" t="str">
        <f>shubetsu073&amp;""</f>
        <v/>
      </c>
      <c r="D85" t="str">
        <f>(IF(削除番明[[#This Row],[請求種別]]="2",(LEFT(billid073,10)),billid073))&amp;""</f>
        <v/>
      </c>
      <c r="E85" t="str">
        <f>UPPER(SUBSTITUTE(削除番明[[#This Row],[ご請求番号]],"-",""))</f>
        <v/>
      </c>
      <c r="F85" s="129" t="str">
        <f>keiyakuid073&amp;""</f>
        <v/>
      </c>
      <c r="G85" s="129"/>
      <c r="H85" s="129"/>
      <c r="I85" s="129"/>
      <c r="J85" s="129"/>
      <c r="K85" s="129" t="str">
        <f>belugabun073&amp;""</f>
        <v/>
      </c>
      <c r="L85" t="b">
        <f>IF(oldbillingStationCustomerNumberOnly="",FALSE,shutoku073)</f>
        <v>0</v>
      </c>
    </row>
    <row r="86" spans="1:12">
      <c r="A86">
        <v>74</v>
      </c>
      <c r="B86" t="s">
        <v>70</v>
      </c>
      <c r="C86" t="str">
        <f>shubetsu074&amp;""</f>
        <v/>
      </c>
      <c r="D86" t="str">
        <f>(IF(削除番明[[#This Row],[請求種別]]="2",(LEFT(billid074,10)),billid074))&amp;""</f>
        <v/>
      </c>
      <c r="E86" t="str">
        <f>UPPER(SUBSTITUTE(削除番明[[#This Row],[ご請求番号]],"-",""))</f>
        <v/>
      </c>
      <c r="F86" s="129" t="str">
        <f>keiyakuid074&amp;""</f>
        <v/>
      </c>
      <c r="G86" s="129"/>
      <c r="H86" s="129"/>
      <c r="I86" s="129"/>
      <c r="J86" s="129"/>
      <c r="K86" s="129" t="str">
        <f>belugabun074&amp;""</f>
        <v/>
      </c>
      <c r="L86" t="b">
        <f>IF(oldbillingStationCustomerNumberOnly="",FALSE,shutoku074)</f>
        <v>0</v>
      </c>
    </row>
    <row r="87" spans="1:12">
      <c r="A87">
        <v>75</v>
      </c>
      <c r="B87" t="s">
        <v>70</v>
      </c>
      <c r="C87" t="str">
        <f>shubetsu075&amp;""</f>
        <v/>
      </c>
      <c r="D87" t="str">
        <f>(IF(削除番明[[#This Row],[請求種別]]="2",(LEFT(billid075,10)),billid075))&amp;""</f>
        <v/>
      </c>
      <c r="E87" t="str">
        <f>UPPER(SUBSTITUTE(削除番明[[#This Row],[ご請求番号]],"-",""))</f>
        <v/>
      </c>
      <c r="F87" s="129" t="str">
        <f>keiyakuid075&amp;""</f>
        <v/>
      </c>
      <c r="G87" s="129"/>
      <c r="H87" s="129"/>
      <c r="I87" s="129"/>
      <c r="J87" s="129"/>
      <c r="K87" s="129" t="str">
        <f>belugabun075&amp;""</f>
        <v/>
      </c>
      <c r="L87" t="b">
        <f>IF(oldbillingStationCustomerNumberOnly="",FALSE,shutoku075)</f>
        <v>0</v>
      </c>
    </row>
    <row r="88" spans="1:12">
      <c r="A88">
        <v>76</v>
      </c>
      <c r="B88" t="s">
        <v>70</v>
      </c>
      <c r="C88" t="str">
        <f>shubetsu076&amp;""</f>
        <v/>
      </c>
      <c r="D88" t="str">
        <f>(IF(削除番明[[#This Row],[請求種別]]="2",(LEFT(billid076,10)),billid076))&amp;""</f>
        <v/>
      </c>
      <c r="E88" t="str">
        <f>UPPER(SUBSTITUTE(削除番明[[#This Row],[ご請求番号]],"-",""))</f>
        <v/>
      </c>
      <c r="F88" s="129" t="str">
        <f>keiyakuid076&amp;""</f>
        <v/>
      </c>
      <c r="G88" s="129"/>
      <c r="H88" s="129"/>
      <c r="I88" s="129"/>
      <c r="J88" s="129"/>
      <c r="K88" s="129" t="str">
        <f>belugabun076&amp;""</f>
        <v/>
      </c>
      <c r="L88" t="b">
        <f>IF(oldbillingStationCustomerNumberOnly="",FALSE,shutoku076)</f>
        <v>0</v>
      </c>
    </row>
    <row r="89" spans="1:12">
      <c r="A89">
        <v>77</v>
      </c>
      <c r="B89" t="s">
        <v>70</v>
      </c>
      <c r="C89" t="str">
        <f>shubetsu077&amp;""</f>
        <v/>
      </c>
      <c r="D89" t="str">
        <f>(IF(削除番明[[#This Row],[請求種別]]="2",(LEFT(billid077,10)),billid077))&amp;""</f>
        <v/>
      </c>
      <c r="E89" t="str">
        <f>UPPER(SUBSTITUTE(削除番明[[#This Row],[ご請求番号]],"-",""))</f>
        <v/>
      </c>
      <c r="F89" s="129" t="str">
        <f>keiyakuid077&amp;""</f>
        <v/>
      </c>
      <c r="G89" s="129"/>
      <c r="H89" s="129"/>
      <c r="I89" s="129"/>
      <c r="J89" s="129"/>
      <c r="K89" s="129" t="str">
        <f>belugabun077&amp;""</f>
        <v/>
      </c>
      <c r="L89" t="b">
        <f>IF(oldbillingStationCustomerNumberOnly="",FALSE,shutoku077)</f>
        <v>0</v>
      </c>
    </row>
    <row r="90" spans="1:12">
      <c r="A90">
        <v>78</v>
      </c>
      <c r="B90" t="s">
        <v>70</v>
      </c>
      <c r="C90" t="str">
        <f>shubetsu078&amp;""</f>
        <v/>
      </c>
      <c r="D90" t="str">
        <f>(IF(削除番明[[#This Row],[請求種別]]="2",(LEFT(billid078,10)),billid078))&amp;""</f>
        <v/>
      </c>
      <c r="E90" t="str">
        <f>UPPER(SUBSTITUTE(削除番明[[#This Row],[ご請求番号]],"-",""))</f>
        <v/>
      </c>
      <c r="F90" s="129" t="str">
        <f>keiyakuid078&amp;""</f>
        <v/>
      </c>
      <c r="G90" s="129"/>
      <c r="H90" s="129"/>
      <c r="I90" s="129"/>
      <c r="J90" s="129"/>
      <c r="K90" s="129" t="str">
        <f>belugabun078&amp;""</f>
        <v/>
      </c>
      <c r="L90" t="b">
        <f>IF(oldbillingStationCustomerNumberOnly="",FALSE,shutoku078)</f>
        <v>0</v>
      </c>
    </row>
    <row r="91" spans="1:12">
      <c r="A91">
        <v>79</v>
      </c>
      <c r="B91" t="s">
        <v>70</v>
      </c>
      <c r="C91" t="str">
        <f>shubetsu079&amp;""</f>
        <v/>
      </c>
      <c r="D91" t="str">
        <f>(IF(削除番明[[#This Row],[請求種別]]="2",(LEFT(billid079,10)),billid079))&amp;""</f>
        <v/>
      </c>
      <c r="E91" t="str">
        <f>UPPER(SUBSTITUTE(削除番明[[#This Row],[ご請求番号]],"-",""))</f>
        <v/>
      </c>
      <c r="F91" s="129" t="str">
        <f>keiyakuid079&amp;""</f>
        <v/>
      </c>
      <c r="G91" s="129"/>
      <c r="H91" s="129"/>
      <c r="I91" s="129"/>
      <c r="J91" s="129"/>
      <c r="K91" s="129" t="str">
        <f>belugabun079&amp;""</f>
        <v/>
      </c>
      <c r="L91" t="b">
        <f>IF(oldbillingStationCustomerNumberOnly="",FALSE,shutoku079)</f>
        <v>0</v>
      </c>
    </row>
    <row r="92" spans="1:12">
      <c r="A92">
        <v>80</v>
      </c>
      <c r="B92" t="s">
        <v>70</v>
      </c>
      <c r="C92" t="str">
        <f>shubetsu080&amp;""</f>
        <v/>
      </c>
      <c r="D92" t="str">
        <f>(IF(削除番明[[#This Row],[請求種別]]="2",(LEFT(billid080,10)),billid080))&amp;""</f>
        <v/>
      </c>
      <c r="E92" t="str">
        <f>UPPER(SUBSTITUTE(削除番明[[#This Row],[ご請求番号]],"-",""))</f>
        <v/>
      </c>
      <c r="F92" s="129" t="str">
        <f>keiyakuid080&amp;""</f>
        <v/>
      </c>
      <c r="G92" s="129"/>
      <c r="H92" s="129"/>
      <c r="I92" s="129"/>
      <c r="J92" s="129"/>
      <c r="K92" s="129" t="str">
        <f>belugabun080&amp;""</f>
        <v/>
      </c>
      <c r="L92" t="b">
        <f>IF(oldbillingStationCustomerNumberOnly="",FALSE,shutoku080)</f>
        <v>0</v>
      </c>
    </row>
    <row r="93" spans="1:12">
      <c r="A93">
        <v>81</v>
      </c>
      <c r="B93" t="s">
        <v>70</v>
      </c>
      <c r="C93" t="str">
        <f>shubetsu081&amp;""</f>
        <v/>
      </c>
      <c r="D93" t="str">
        <f>(IF(削除番明[[#This Row],[請求種別]]="2",(LEFT(billid081,10)),billid081))&amp;""</f>
        <v/>
      </c>
      <c r="E93" t="str">
        <f>UPPER(SUBSTITUTE(削除番明[[#This Row],[ご請求番号]],"-",""))</f>
        <v/>
      </c>
      <c r="F93" s="129" t="str">
        <f>keiyakuid081&amp;""</f>
        <v/>
      </c>
      <c r="G93" s="129"/>
      <c r="H93" s="129"/>
      <c r="I93" s="129"/>
      <c r="J93" s="129"/>
      <c r="K93" s="129" t="str">
        <f>belugabun081&amp;""</f>
        <v/>
      </c>
      <c r="L93" t="b">
        <f>IF(oldbillingStationCustomerNumberOnly="",FALSE,shutoku081)</f>
        <v>0</v>
      </c>
    </row>
    <row r="94" spans="1:12">
      <c r="A94">
        <v>82</v>
      </c>
      <c r="B94" t="s">
        <v>70</v>
      </c>
      <c r="C94" t="str">
        <f>shubetsu082&amp;""</f>
        <v/>
      </c>
      <c r="D94" t="str">
        <f>(IF(削除番明[[#This Row],[請求種別]]="2",(LEFT(billid082,10)),billid082))&amp;""</f>
        <v/>
      </c>
      <c r="E94" t="str">
        <f>UPPER(SUBSTITUTE(削除番明[[#This Row],[ご請求番号]],"-",""))</f>
        <v/>
      </c>
      <c r="F94" s="129" t="str">
        <f>keiyakuid082&amp;""</f>
        <v/>
      </c>
      <c r="G94" s="129"/>
      <c r="H94" s="129"/>
      <c r="I94" s="129"/>
      <c r="J94" s="129"/>
      <c r="K94" s="129" t="str">
        <f>belugabun082&amp;""</f>
        <v/>
      </c>
      <c r="L94" t="b">
        <f>IF(oldbillingStationCustomerNumberOnly="",FALSE,shutoku082)</f>
        <v>0</v>
      </c>
    </row>
    <row r="95" spans="1:12">
      <c r="A95">
        <v>83</v>
      </c>
      <c r="B95" t="s">
        <v>70</v>
      </c>
      <c r="C95" t="str">
        <f>shubetsu083&amp;""</f>
        <v/>
      </c>
      <c r="D95" t="str">
        <f>(IF(削除番明[[#This Row],[請求種別]]="2",(LEFT(billid083,10)),billid083))&amp;""</f>
        <v/>
      </c>
      <c r="E95" t="str">
        <f>UPPER(SUBSTITUTE(削除番明[[#This Row],[ご請求番号]],"-",""))</f>
        <v/>
      </c>
      <c r="F95" s="129" t="str">
        <f>keiyakuid083&amp;""</f>
        <v/>
      </c>
      <c r="G95" s="129"/>
      <c r="H95" s="129"/>
      <c r="I95" s="129"/>
      <c r="J95" s="129"/>
      <c r="K95" s="129" t="str">
        <f>belugabun083&amp;""</f>
        <v/>
      </c>
      <c r="L95" t="b">
        <f>IF(oldbillingStationCustomerNumberOnly="",FALSE,shutoku083)</f>
        <v>0</v>
      </c>
    </row>
    <row r="96" spans="1:12">
      <c r="A96">
        <v>84</v>
      </c>
      <c r="B96" t="s">
        <v>70</v>
      </c>
      <c r="C96" t="str">
        <f>shubetsu084&amp;""</f>
        <v/>
      </c>
      <c r="D96" t="str">
        <f>(IF(削除番明[[#This Row],[請求種別]]="2",(LEFT(billid084,10)),billid084))&amp;""</f>
        <v/>
      </c>
      <c r="E96" t="str">
        <f>UPPER(SUBSTITUTE(削除番明[[#This Row],[ご請求番号]],"-",""))</f>
        <v/>
      </c>
      <c r="F96" s="129" t="str">
        <f>keiyakuid084&amp;""</f>
        <v/>
      </c>
      <c r="G96" s="129"/>
      <c r="H96" s="129"/>
      <c r="I96" s="129"/>
      <c r="J96" s="129"/>
      <c r="K96" s="129" t="str">
        <f>belugabun084&amp;""</f>
        <v/>
      </c>
      <c r="L96" t="b">
        <f>IF(oldbillingStationCustomerNumberOnly="",FALSE,shutoku084)</f>
        <v>0</v>
      </c>
    </row>
    <row r="97" spans="1:12">
      <c r="A97">
        <v>85</v>
      </c>
      <c r="B97" t="s">
        <v>70</v>
      </c>
      <c r="C97" t="str">
        <f>shubetsu085&amp;""</f>
        <v/>
      </c>
      <c r="D97" t="str">
        <f>(IF(削除番明[[#This Row],[請求種別]]="2",(LEFT(billid085,10)),billid085))&amp;""</f>
        <v/>
      </c>
      <c r="E97" t="str">
        <f>UPPER(SUBSTITUTE(削除番明[[#This Row],[ご請求番号]],"-",""))</f>
        <v/>
      </c>
      <c r="F97" s="129" t="str">
        <f>keiyakuid085&amp;""</f>
        <v/>
      </c>
      <c r="G97" s="129"/>
      <c r="H97" s="129"/>
      <c r="I97" s="129"/>
      <c r="J97" s="129"/>
      <c r="K97" s="129" t="str">
        <f>belugabun085&amp;""</f>
        <v/>
      </c>
      <c r="L97" t="b">
        <f>IF(oldbillingStationCustomerNumberOnly="",FALSE,shutoku085)</f>
        <v>0</v>
      </c>
    </row>
    <row r="98" spans="1:12">
      <c r="A98">
        <v>86</v>
      </c>
      <c r="B98" t="s">
        <v>70</v>
      </c>
      <c r="C98" t="str">
        <f>shubetsu086&amp;""</f>
        <v/>
      </c>
      <c r="D98" t="str">
        <f>(IF(削除番明[[#This Row],[請求種別]]="2",(LEFT(billid086,10)),billid086))&amp;""</f>
        <v/>
      </c>
      <c r="E98" t="str">
        <f>UPPER(SUBSTITUTE(削除番明[[#This Row],[ご請求番号]],"-",""))</f>
        <v/>
      </c>
      <c r="F98" s="129" t="str">
        <f>keiyakuid086&amp;""</f>
        <v/>
      </c>
      <c r="G98" s="129"/>
      <c r="H98" s="129"/>
      <c r="I98" s="129"/>
      <c r="J98" s="129"/>
      <c r="K98" s="129" t="str">
        <f>belugabun086&amp;""</f>
        <v/>
      </c>
      <c r="L98" t="b">
        <f>IF(oldbillingStationCustomerNumberOnly="",FALSE,shutoku086)</f>
        <v>0</v>
      </c>
    </row>
    <row r="99" spans="1:12">
      <c r="A99">
        <v>87</v>
      </c>
      <c r="B99" t="s">
        <v>70</v>
      </c>
      <c r="C99" t="str">
        <f>shubetsu087&amp;""</f>
        <v/>
      </c>
      <c r="D99" t="str">
        <f>(IF(削除番明[[#This Row],[請求種別]]="2",(LEFT(billid087,10)),billid087))&amp;""</f>
        <v/>
      </c>
      <c r="E99" t="str">
        <f>UPPER(SUBSTITUTE(削除番明[[#This Row],[ご請求番号]],"-",""))</f>
        <v/>
      </c>
      <c r="F99" s="129" t="str">
        <f>keiyakuid087&amp;""</f>
        <v/>
      </c>
      <c r="G99" s="129"/>
      <c r="H99" s="129"/>
      <c r="I99" s="129"/>
      <c r="J99" s="129"/>
      <c r="K99" s="129" t="str">
        <f>belugabun087&amp;""</f>
        <v/>
      </c>
      <c r="L99" t="b">
        <f>IF(oldbillingStationCustomerNumberOnly="",FALSE,shutoku087)</f>
        <v>0</v>
      </c>
    </row>
    <row r="100" spans="1:12">
      <c r="A100">
        <v>88</v>
      </c>
      <c r="B100" t="s">
        <v>70</v>
      </c>
      <c r="C100" t="str">
        <f>shubetsu088&amp;""</f>
        <v/>
      </c>
      <c r="D100" t="str">
        <f>(IF(削除番明[[#This Row],[請求種別]]="2",(LEFT(billid088,10)),billid088))&amp;""</f>
        <v/>
      </c>
      <c r="E100" t="str">
        <f>UPPER(SUBSTITUTE(削除番明[[#This Row],[ご請求番号]],"-",""))</f>
        <v/>
      </c>
      <c r="F100" s="129" t="str">
        <f>keiyakuid088&amp;""</f>
        <v/>
      </c>
      <c r="G100" s="129"/>
      <c r="H100" s="129"/>
      <c r="I100" s="129"/>
      <c r="J100" s="129"/>
      <c r="K100" s="129" t="str">
        <f>belugabun088&amp;""</f>
        <v/>
      </c>
      <c r="L100" t="b">
        <f>IF(oldbillingStationCustomerNumberOnly="",FALSE,shutoku088)</f>
        <v>0</v>
      </c>
    </row>
    <row r="101" spans="1:12">
      <c r="A101">
        <v>89</v>
      </c>
      <c r="B101" t="s">
        <v>70</v>
      </c>
      <c r="C101" t="str">
        <f>shubetsu089&amp;""</f>
        <v/>
      </c>
      <c r="D101" t="str">
        <f>(IF(削除番明[[#This Row],[請求種別]]="2",(LEFT(billid089,10)),billid089))&amp;""</f>
        <v/>
      </c>
      <c r="E101" t="str">
        <f>UPPER(SUBSTITUTE(削除番明[[#This Row],[ご請求番号]],"-",""))</f>
        <v/>
      </c>
      <c r="F101" s="129" t="str">
        <f>keiyakuid089&amp;""</f>
        <v/>
      </c>
      <c r="G101" s="129"/>
      <c r="H101" s="129"/>
      <c r="I101" s="129"/>
      <c r="J101" s="129"/>
      <c r="K101" s="129" t="str">
        <f>belugabun089&amp;""</f>
        <v/>
      </c>
      <c r="L101" t="b">
        <f>IF(oldbillingStationCustomerNumberOnly="",FALSE,shutoku089)</f>
        <v>0</v>
      </c>
    </row>
    <row r="102" spans="1:12">
      <c r="A102">
        <v>90</v>
      </c>
      <c r="B102" t="s">
        <v>70</v>
      </c>
      <c r="C102" t="str">
        <f>shubetsu090&amp;""</f>
        <v/>
      </c>
      <c r="D102" t="str">
        <f>(IF(削除番明[[#This Row],[請求種別]]="2",(LEFT(billid090,10)),billid090))&amp;""</f>
        <v/>
      </c>
      <c r="E102" t="str">
        <f>UPPER(SUBSTITUTE(削除番明[[#This Row],[ご請求番号]],"-",""))</f>
        <v/>
      </c>
      <c r="F102" s="129" t="str">
        <f>keiyakuid090&amp;""</f>
        <v/>
      </c>
      <c r="G102" s="129"/>
      <c r="H102" s="129"/>
      <c r="I102" s="129"/>
      <c r="J102" s="129"/>
      <c r="K102" s="129" t="str">
        <f>belugabun090&amp;""</f>
        <v/>
      </c>
      <c r="L102" t="b">
        <f>IF(oldbillingStationCustomerNumberOnly="",FALSE,shutoku090)</f>
        <v>0</v>
      </c>
    </row>
    <row r="103" spans="1:12">
      <c r="A103">
        <v>91</v>
      </c>
      <c r="B103" t="s">
        <v>70</v>
      </c>
      <c r="C103" t="str">
        <f>shubetsu091&amp;""</f>
        <v/>
      </c>
      <c r="D103" t="str">
        <f>(IF(削除番明[[#This Row],[請求種別]]="2",(LEFT(billid091,10)),billid091))&amp;""</f>
        <v/>
      </c>
      <c r="E103" t="str">
        <f>UPPER(SUBSTITUTE(削除番明[[#This Row],[ご請求番号]],"-",""))</f>
        <v/>
      </c>
      <c r="F103" s="129" t="str">
        <f>keiyakuid091&amp;""</f>
        <v/>
      </c>
      <c r="G103" s="129"/>
      <c r="H103" s="129"/>
      <c r="I103" s="129"/>
      <c r="J103" s="129"/>
      <c r="K103" s="129" t="str">
        <f>belugabun091&amp;""</f>
        <v/>
      </c>
      <c r="L103" t="b">
        <f>IF(oldbillingStationCustomerNumberOnly="",FALSE,shutoku091)</f>
        <v>0</v>
      </c>
    </row>
    <row r="104" spans="1:12">
      <c r="A104">
        <v>92</v>
      </c>
      <c r="B104" t="s">
        <v>70</v>
      </c>
      <c r="C104" t="str">
        <f>shubetsu092&amp;""</f>
        <v/>
      </c>
      <c r="D104" t="str">
        <f>(IF(削除番明[[#This Row],[請求種別]]="2",(LEFT(billid092,10)),billid092))&amp;""</f>
        <v/>
      </c>
      <c r="E104" t="str">
        <f>UPPER(SUBSTITUTE(削除番明[[#This Row],[ご請求番号]],"-",""))</f>
        <v/>
      </c>
      <c r="F104" s="129" t="str">
        <f>keiyakuid092&amp;""</f>
        <v/>
      </c>
      <c r="G104" s="129"/>
      <c r="H104" s="129"/>
      <c r="I104" s="129"/>
      <c r="J104" s="129"/>
      <c r="K104" s="129" t="str">
        <f>belugabun092&amp;""</f>
        <v/>
      </c>
      <c r="L104" t="b">
        <f>IF(oldbillingStationCustomerNumberOnly="",FALSE,shutoku092)</f>
        <v>0</v>
      </c>
    </row>
    <row r="105" spans="1:12">
      <c r="A105">
        <v>93</v>
      </c>
      <c r="B105" t="s">
        <v>70</v>
      </c>
      <c r="C105" t="str">
        <f>shubetsu093&amp;""</f>
        <v/>
      </c>
      <c r="D105" t="str">
        <f>(IF(削除番明[[#This Row],[請求種別]]="2",(LEFT(billid093,10)),billid093))&amp;""</f>
        <v/>
      </c>
      <c r="E105" t="str">
        <f>UPPER(SUBSTITUTE(削除番明[[#This Row],[ご請求番号]],"-",""))</f>
        <v/>
      </c>
      <c r="F105" s="129" t="str">
        <f>keiyakuid093&amp;""</f>
        <v/>
      </c>
      <c r="G105" s="129"/>
      <c r="H105" s="129"/>
      <c r="I105" s="129"/>
      <c r="J105" s="129"/>
      <c r="K105" s="129" t="str">
        <f>belugabun093&amp;""</f>
        <v/>
      </c>
      <c r="L105" t="b">
        <f>IF(oldbillingStationCustomerNumberOnly="",FALSE,shutoku093)</f>
        <v>0</v>
      </c>
    </row>
    <row r="106" spans="1:12">
      <c r="A106">
        <v>94</v>
      </c>
      <c r="B106" t="s">
        <v>70</v>
      </c>
      <c r="C106" t="str">
        <f>shubetsu094&amp;""</f>
        <v/>
      </c>
      <c r="D106" t="str">
        <f>(IF(削除番明[[#This Row],[請求種別]]="2",(LEFT(billid094,10)),billid094))&amp;""</f>
        <v/>
      </c>
      <c r="E106" t="str">
        <f>UPPER(SUBSTITUTE(削除番明[[#This Row],[ご請求番号]],"-",""))</f>
        <v/>
      </c>
      <c r="F106" s="129" t="str">
        <f>keiyakuid094&amp;""</f>
        <v/>
      </c>
      <c r="G106" s="129"/>
      <c r="H106" s="129"/>
      <c r="I106" s="129"/>
      <c r="J106" s="129"/>
      <c r="K106" s="129" t="str">
        <f>belugabun094&amp;""</f>
        <v/>
      </c>
      <c r="L106" t="b">
        <f>IF(oldbillingStationCustomerNumberOnly="",FALSE,shutoku094)</f>
        <v>0</v>
      </c>
    </row>
    <row r="107" spans="1:12">
      <c r="A107">
        <v>95</v>
      </c>
      <c r="B107" t="s">
        <v>70</v>
      </c>
      <c r="C107" t="str">
        <f>shubetsu095&amp;""</f>
        <v/>
      </c>
      <c r="D107" t="str">
        <f>(IF(削除番明[[#This Row],[請求種別]]="2",(LEFT(billid095,10)),billid095))&amp;""</f>
        <v/>
      </c>
      <c r="E107" t="str">
        <f>UPPER(SUBSTITUTE(削除番明[[#This Row],[ご請求番号]],"-",""))</f>
        <v/>
      </c>
      <c r="F107" s="129" t="str">
        <f>keiyakuid095&amp;""</f>
        <v/>
      </c>
      <c r="G107" s="129"/>
      <c r="H107" s="129"/>
      <c r="I107" s="129"/>
      <c r="J107" s="129"/>
      <c r="K107" s="129" t="str">
        <f>belugabun095&amp;""</f>
        <v/>
      </c>
      <c r="L107" t="b">
        <f>IF(oldbillingStationCustomerNumberOnly="",FALSE,shutoku095)</f>
        <v>0</v>
      </c>
    </row>
    <row r="108" spans="1:12">
      <c r="A108">
        <v>96</v>
      </c>
      <c r="B108" t="s">
        <v>70</v>
      </c>
      <c r="C108" t="str">
        <f>shubetsu096&amp;""</f>
        <v/>
      </c>
      <c r="D108" t="str">
        <f>(IF(削除番明[[#This Row],[請求種別]]="2",(LEFT(billid096,10)),billid096))&amp;""</f>
        <v/>
      </c>
      <c r="E108" t="str">
        <f>UPPER(SUBSTITUTE(削除番明[[#This Row],[ご請求番号]],"-",""))</f>
        <v/>
      </c>
      <c r="F108" s="129" t="str">
        <f>keiyakuid096&amp;""</f>
        <v/>
      </c>
      <c r="G108" s="129"/>
      <c r="H108" s="129"/>
      <c r="I108" s="129"/>
      <c r="J108" s="129"/>
      <c r="K108" s="129" t="str">
        <f>belugabun096&amp;""</f>
        <v/>
      </c>
      <c r="L108" t="b">
        <f>IF(oldbillingStationCustomerNumberOnly="",FALSE,shutoku096)</f>
        <v>0</v>
      </c>
    </row>
    <row r="109" spans="1:12">
      <c r="A109">
        <v>97</v>
      </c>
      <c r="B109" t="s">
        <v>70</v>
      </c>
      <c r="C109" t="str">
        <f>shubetsu097&amp;""</f>
        <v/>
      </c>
      <c r="D109" t="str">
        <f>(IF(削除番明[[#This Row],[請求種別]]="2",(LEFT(billid097,10)),billid097))&amp;""</f>
        <v/>
      </c>
      <c r="E109" t="str">
        <f>UPPER(SUBSTITUTE(削除番明[[#This Row],[ご請求番号]],"-",""))</f>
        <v/>
      </c>
      <c r="F109" s="129" t="str">
        <f>keiyakuid097&amp;""</f>
        <v/>
      </c>
      <c r="G109" s="129"/>
      <c r="H109" s="129"/>
      <c r="I109" s="129"/>
      <c r="J109" s="129"/>
      <c r="K109" s="129" t="str">
        <f>belugabun097&amp;""</f>
        <v/>
      </c>
      <c r="L109" t="b">
        <f>IF(oldbillingStationCustomerNumberOnly="",FALSE,shutoku097)</f>
        <v>0</v>
      </c>
    </row>
    <row r="110" spans="1:12">
      <c r="A110">
        <v>98</v>
      </c>
      <c r="B110" t="s">
        <v>70</v>
      </c>
      <c r="C110" t="str">
        <f>shubetsu098&amp;""</f>
        <v/>
      </c>
      <c r="D110" t="str">
        <f>(IF(削除番明[[#This Row],[請求種別]]="2",(LEFT(billid098,10)),billid098))&amp;""</f>
        <v/>
      </c>
      <c r="E110" t="str">
        <f>UPPER(SUBSTITUTE(削除番明[[#This Row],[ご請求番号]],"-",""))</f>
        <v/>
      </c>
      <c r="F110" s="129" t="str">
        <f>keiyakuid098&amp;""</f>
        <v/>
      </c>
      <c r="G110" s="129"/>
      <c r="H110" s="129"/>
      <c r="I110" s="129"/>
      <c r="J110" s="129"/>
      <c r="K110" s="129" t="str">
        <f>belugabun098&amp;""</f>
        <v/>
      </c>
      <c r="L110" t="b">
        <f>IF(oldbillingStationCustomerNumberOnly="",FALSE,shutoku098)</f>
        <v>0</v>
      </c>
    </row>
    <row r="111" spans="1:12">
      <c r="A111">
        <v>99</v>
      </c>
      <c r="B111" t="s">
        <v>70</v>
      </c>
      <c r="C111" t="str">
        <f>shubetsu099&amp;""</f>
        <v/>
      </c>
      <c r="D111" t="str">
        <f>(IF(削除番明[[#This Row],[請求種別]]="2",(LEFT(billid099,10)),billid099))&amp;""</f>
        <v/>
      </c>
      <c r="E111" t="str">
        <f>UPPER(SUBSTITUTE(削除番明[[#This Row],[ご請求番号]],"-",""))</f>
        <v/>
      </c>
      <c r="F111" s="129" t="str">
        <f>keiyakuid099&amp;""</f>
        <v/>
      </c>
      <c r="G111" s="129"/>
      <c r="H111" s="129"/>
      <c r="I111" s="129"/>
      <c r="J111" s="129"/>
      <c r="K111" s="129" t="str">
        <f>belugabun099&amp;""</f>
        <v/>
      </c>
      <c r="L111" t="b">
        <f>IF(oldbillingStationCustomerNumberOnly="",FALSE,shutoku099)</f>
        <v>0</v>
      </c>
    </row>
    <row r="112" spans="1:12">
      <c r="A112">
        <v>100</v>
      </c>
      <c r="B112" t="s">
        <v>70</v>
      </c>
      <c r="C112" t="str">
        <f>shubetsu100&amp;""</f>
        <v/>
      </c>
      <c r="D112" t="str">
        <f>(IF(削除番明[[#This Row],[請求種別]]="2",(LEFT(billid100,10)),billid100))&amp;""</f>
        <v/>
      </c>
      <c r="E112" t="str">
        <f>UPPER(SUBSTITUTE(削除番明[[#This Row],[ご請求番号]],"-",""))</f>
        <v/>
      </c>
      <c r="F112" s="129" t="str">
        <f>keiyakuid100&amp;""</f>
        <v/>
      </c>
      <c r="G112" s="129"/>
      <c r="H112" s="129"/>
      <c r="I112" s="129"/>
      <c r="J112" s="129"/>
      <c r="K112" s="129" t="str">
        <f>belugabun100&amp;""</f>
        <v/>
      </c>
      <c r="L112" t="b">
        <f>IF(oldbillingStationCustomerNumberOnly="",FALSE,shutoku100)</f>
        <v>0</v>
      </c>
    </row>
    <row r="113" spans="1:12">
      <c r="A113">
        <v>101</v>
      </c>
      <c r="B113" t="s">
        <v>70</v>
      </c>
      <c r="C113" t="str">
        <f>shubetsu101&amp;""</f>
        <v/>
      </c>
      <c r="D113" t="str">
        <f>(IF(削除番明[[#This Row],[請求種別]]="2",(LEFT(billid101,10)),billid101))&amp;""</f>
        <v/>
      </c>
      <c r="E113" t="str">
        <f>UPPER(SUBSTITUTE(削除番明[[#This Row],[ご請求番号]],"-",""))</f>
        <v/>
      </c>
      <c r="F113" s="129" t="str">
        <f>keiyakuid101&amp;""</f>
        <v/>
      </c>
      <c r="G113" s="129"/>
      <c r="H113" s="129"/>
      <c r="I113" s="129"/>
      <c r="J113" s="129"/>
      <c r="K113" s="129" t="str">
        <f>belugabun101&amp;""</f>
        <v/>
      </c>
      <c r="L113" t="b">
        <f>IF(oldbillingStationCustomerNumberOnly="",FALSE,shutoku101)</f>
        <v>0</v>
      </c>
    </row>
    <row r="114" spans="1:12">
      <c r="A114">
        <v>102</v>
      </c>
      <c r="B114" t="s">
        <v>70</v>
      </c>
      <c r="C114" t="str">
        <f>shubetsu102&amp;""</f>
        <v/>
      </c>
      <c r="D114" t="str">
        <f>(IF(削除番明[[#This Row],[請求種別]]="2",(LEFT(billid102,10)),billid102))&amp;""</f>
        <v/>
      </c>
      <c r="E114" t="str">
        <f>UPPER(SUBSTITUTE(削除番明[[#This Row],[ご請求番号]],"-",""))</f>
        <v/>
      </c>
      <c r="F114" s="129" t="str">
        <f>keiyakuid102&amp;""</f>
        <v/>
      </c>
      <c r="G114" s="129"/>
      <c r="H114" s="129"/>
      <c r="I114" s="129"/>
      <c r="J114" s="129"/>
      <c r="K114" s="129" t="str">
        <f>belugabun102&amp;""</f>
        <v/>
      </c>
      <c r="L114" t="b">
        <f>IF(oldbillingStationCustomerNumberOnly="",FALSE,shutoku102)</f>
        <v>0</v>
      </c>
    </row>
    <row r="115" spans="1:12">
      <c r="A115">
        <v>103</v>
      </c>
      <c r="B115" t="s">
        <v>70</v>
      </c>
      <c r="C115" t="str">
        <f>shubetsu103&amp;""</f>
        <v/>
      </c>
      <c r="D115" t="str">
        <f>(IF(削除番明[[#This Row],[請求種別]]="2",(LEFT(billid103,10)),billid103))&amp;""</f>
        <v/>
      </c>
      <c r="E115" t="str">
        <f>UPPER(SUBSTITUTE(削除番明[[#This Row],[ご請求番号]],"-",""))</f>
        <v/>
      </c>
      <c r="F115" s="129" t="str">
        <f>keiyakuid103&amp;""</f>
        <v/>
      </c>
      <c r="G115" s="129"/>
      <c r="H115" s="129"/>
      <c r="I115" s="129"/>
      <c r="J115" s="129"/>
      <c r="K115" s="129" t="str">
        <f>belugabun103&amp;""</f>
        <v/>
      </c>
      <c r="L115" t="b">
        <f>IF(oldbillingStationCustomerNumberOnly="",FALSE,shutoku103)</f>
        <v>0</v>
      </c>
    </row>
    <row r="116" spans="1:12">
      <c r="A116">
        <v>104</v>
      </c>
      <c r="B116" t="s">
        <v>70</v>
      </c>
      <c r="C116" t="str">
        <f>shubetsu104&amp;""</f>
        <v/>
      </c>
      <c r="D116" t="str">
        <f>(IF(削除番明[[#This Row],[請求種別]]="2",(LEFT(billid104,10)),billid104))&amp;""</f>
        <v/>
      </c>
      <c r="E116" t="str">
        <f>UPPER(SUBSTITUTE(削除番明[[#This Row],[ご請求番号]],"-",""))</f>
        <v/>
      </c>
      <c r="F116" s="129" t="str">
        <f>keiyakuid104&amp;""</f>
        <v/>
      </c>
      <c r="G116" s="129"/>
      <c r="H116" s="129"/>
      <c r="I116" s="129"/>
      <c r="J116" s="129"/>
      <c r="K116" s="129" t="str">
        <f>belugabun104&amp;""</f>
        <v/>
      </c>
      <c r="L116" t="b">
        <f>IF(oldbillingStationCustomerNumberOnly="",FALSE,shutoku104)</f>
        <v>0</v>
      </c>
    </row>
    <row r="117" spans="1:12">
      <c r="A117">
        <v>105</v>
      </c>
      <c r="B117" t="s">
        <v>70</v>
      </c>
      <c r="C117" t="str">
        <f>shubetsu105&amp;""</f>
        <v/>
      </c>
      <c r="D117" t="str">
        <f>(IF(削除番明[[#This Row],[請求種別]]="2",(LEFT(billid105,10)),billid105))&amp;""</f>
        <v/>
      </c>
      <c r="E117" t="str">
        <f>UPPER(SUBSTITUTE(削除番明[[#This Row],[ご請求番号]],"-",""))</f>
        <v/>
      </c>
      <c r="F117" s="129" t="str">
        <f>keiyakuid105&amp;""</f>
        <v/>
      </c>
      <c r="G117" s="129"/>
      <c r="H117" s="129"/>
      <c r="I117" s="129"/>
      <c r="J117" s="129"/>
      <c r="K117" s="129" t="str">
        <f>belugabun105&amp;""</f>
        <v/>
      </c>
      <c r="L117" t="b">
        <f>IF(oldbillingStationCustomerNumberOnly="",FALSE,shutoku105)</f>
        <v>0</v>
      </c>
    </row>
    <row r="118" spans="1:12">
      <c r="A118">
        <v>106</v>
      </c>
      <c r="B118" t="s">
        <v>70</v>
      </c>
      <c r="C118" t="str">
        <f>shubetsu106&amp;""</f>
        <v/>
      </c>
      <c r="D118" t="str">
        <f>(IF(削除番明[[#This Row],[請求種別]]="2",(LEFT(billid106,10)),billid106))&amp;""</f>
        <v/>
      </c>
      <c r="E118" t="str">
        <f>UPPER(SUBSTITUTE(削除番明[[#This Row],[ご請求番号]],"-",""))</f>
        <v/>
      </c>
      <c r="F118" s="129" t="str">
        <f>keiyakuid106&amp;""</f>
        <v/>
      </c>
      <c r="G118" s="129"/>
      <c r="H118" s="129"/>
      <c r="I118" s="129"/>
      <c r="J118" s="129"/>
      <c r="K118" s="129" t="str">
        <f>belugabun106&amp;""</f>
        <v/>
      </c>
      <c r="L118" t="b">
        <f>IF(oldbillingStationCustomerNumberOnly="",FALSE,shutoku106)</f>
        <v>0</v>
      </c>
    </row>
    <row r="119" spans="1:12">
      <c r="A119">
        <v>107</v>
      </c>
      <c r="B119" t="s">
        <v>70</v>
      </c>
      <c r="C119" t="str">
        <f>shubetsu107&amp;""</f>
        <v/>
      </c>
      <c r="D119" t="str">
        <f>(IF(削除番明[[#This Row],[請求種別]]="2",(LEFT(billid107,10)),billid107))&amp;""</f>
        <v/>
      </c>
      <c r="E119" t="str">
        <f>UPPER(SUBSTITUTE(削除番明[[#This Row],[ご請求番号]],"-",""))</f>
        <v/>
      </c>
      <c r="F119" s="129" t="str">
        <f>keiyakuid107&amp;""</f>
        <v/>
      </c>
      <c r="G119" s="129"/>
      <c r="H119" s="129"/>
      <c r="I119" s="129"/>
      <c r="J119" s="129"/>
      <c r="K119" s="129" t="str">
        <f>belugabun107&amp;""</f>
        <v/>
      </c>
      <c r="L119" t="b">
        <f>IF(oldbillingStationCustomerNumberOnly="",FALSE,shutoku107)</f>
        <v>0</v>
      </c>
    </row>
    <row r="120" spans="1:12">
      <c r="A120">
        <v>108</v>
      </c>
      <c r="B120" t="s">
        <v>70</v>
      </c>
      <c r="C120" t="str">
        <f>shubetsu108&amp;""</f>
        <v/>
      </c>
      <c r="D120" t="str">
        <f>(IF(削除番明[[#This Row],[請求種別]]="2",(LEFT(billid108,10)),billid108))&amp;""</f>
        <v/>
      </c>
      <c r="E120" t="str">
        <f>UPPER(SUBSTITUTE(削除番明[[#This Row],[ご請求番号]],"-",""))</f>
        <v/>
      </c>
      <c r="F120" s="129" t="str">
        <f>keiyakuid108&amp;""</f>
        <v/>
      </c>
      <c r="G120" s="129"/>
      <c r="H120" s="129"/>
      <c r="I120" s="129"/>
      <c r="J120" s="129"/>
      <c r="K120" s="129" t="str">
        <f>belugabun108&amp;""</f>
        <v/>
      </c>
      <c r="L120" t="b">
        <f>IF(oldbillingStationCustomerNumberOnly="",FALSE,shutoku108)</f>
        <v>0</v>
      </c>
    </row>
    <row r="121" spans="1:12">
      <c r="A121">
        <v>109</v>
      </c>
      <c r="B121" t="s">
        <v>70</v>
      </c>
      <c r="C121" t="str">
        <f>shubetsu109&amp;""</f>
        <v/>
      </c>
      <c r="D121" t="str">
        <f>(IF(削除番明[[#This Row],[請求種別]]="2",(LEFT(billid109,10)),billid109))&amp;""</f>
        <v/>
      </c>
      <c r="E121" t="str">
        <f>UPPER(SUBSTITUTE(削除番明[[#This Row],[ご請求番号]],"-",""))</f>
        <v/>
      </c>
      <c r="F121" s="129" t="str">
        <f>keiyakuid109&amp;""</f>
        <v/>
      </c>
      <c r="G121" s="129"/>
      <c r="H121" s="129"/>
      <c r="I121" s="129"/>
      <c r="J121" s="129"/>
      <c r="K121" s="129" t="str">
        <f>belugabun109&amp;""</f>
        <v/>
      </c>
      <c r="L121" t="b">
        <f>IF(oldbillingStationCustomerNumberOnly="",FALSE,shutoku109)</f>
        <v>0</v>
      </c>
    </row>
    <row r="122" spans="1:12">
      <c r="A122">
        <v>110</v>
      </c>
      <c r="B122" t="s">
        <v>70</v>
      </c>
      <c r="C122" t="str">
        <f>shubetsu110&amp;""</f>
        <v/>
      </c>
      <c r="D122" t="str">
        <f>(IF(削除番明[[#This Row],[請求種別]]="2",(LEFT(billid110,10)),billid110))&amp;""</f>
        <v/>
      </c>
      <c r="E122" t="str">
        <f>UPPER(SUBSTITUTE(削除番明[[#This Row],[ご請求番号]],"-",""))</f>
        <v/>
      </c>
      <c r="F122" s="129" t="str">
        <f>keiyakuid110&amp;""</f>
        <v/>
      </c>
      <c r="G122" s="129"/>
      <c r="H122" s="129"/>
      <c r="I122" s="129"/>
      <c r="J122" s="129"/>
      <c r="K122" s="129" t="str">
        <f>belugabun110&amp;""</f>
        <v/>
      </c>
      <c r="L122" t="b">
        <f>IF(oldbillingStationCustomerNumberOnly="",FALSE,shutoku110)</f>
        <v>0</v>
      </c>
    </row>
    <row r="123" spans="1:12">
      <c r="A123">
        <v>111</v>
      </c>
      <c r="B123" t="s">
        <v>70</v>
      </c>
      <c r="C123" t="str">
        <f>shubetsu111&amp;""</f>
        <v/>
      </c>
      <c r="D123" t="str">
        <f>(IF(削除番明[[#This Row],[請求種別]]="2",(LEFT(billid111,10)),billid111))&amp;""</f>
        <v/>
      </c>
      <c r="E123" t="str">
        <f>UPPER(SUBSTITUTE(削除番明[[#This Row],[ご請求番号]],"-",""))</f>
        <v/>
      </c>
      <c r="F123" s="129" t="str">
        <f>keiyakuid111&amp;""</f>
        <v/>
      </c>
      <c r="G123" s="129"/>
      <c r="H123" s="129"/>
      <c r="I123" s="129"/>
      <c r="J123" s="129"/>
      <c r="K123" s="129" t="str">
        <f>belugabun111&amp;""</f>
        <v/>
      </c>
      <c r="L123" t="b">
        <f>IF(oldbillingStationCustomerNumberOnly="",FALSE,shutoku111)</f>
        <v>0</v>
      </c>
    </row>
    <row r="124" spans="1:12">
      <c r="A124">
        <v>112</v>
      </c>
      <c r="B124" t="s">
        <v>70</v>
      </c>
      <c r="C124" t="str">
        <f>shubetsu112&amp;""</f>
        <v/>
      </c>
      <c r="D124" t="str">
        <f>(IF(削除番明[[#This Row],[請求種別]]="2",(LEFT(billid112,10)),billid112))&amp;""</f>
        <v/>
      </c>
      <c r="E124" t="str">
        <f>UPPER(SUBSTITUTE(削除番明[[#This Row],[ご請求番号]],"-",""))</f>
        <v/>
      </c>
      <c r="F124" s="129" t="str">
        <f>keiyakuid112&amp;""</f>
        <v/>
      </c>
      <c r="G124" s="129"/>
      <c r="H124" s="129"/>
      <c r="I124" s="129"/>
      <c r="J124" s="129"/>
      <c r="K124" s="129" t="str">
        <f>belugabun112&amp;""</f>
        <v/>
      </c>
      <c r="L124" t="b">
        <f>IF(oldbillingStationCustomerNumberOnly="",FALSE,shutoku112)</f>
        <v>0</v>
      </c>
    </row>
    <row r="125" spans="1:12">
      <c r="A125">
        <v>113</v>
      </c>
      <c r="B125" t="s">
        <v>70</v>
      </c>
      <c r="C125" t="str">
        <f>shubetsu113&amp;""</f>
        <v/>
      </c>
      <c r="D125" t="str">
        <f>(IF(削除番明[[#This Row],[請求種別]]="2",(LEFT(billid113,10)),billid113))&amp;""</f>
        <v/>
      </c>
      <c r="E125" t="str">
        <f>UPPER(SUBSTITUTE(削除番明[[#This Row],[ご請求番号]],"-",""))</f>
        <v/>
      </c>
      <c r="F125" s="129" t="str">
        <f>keiyakuid113&amp;""</f>
        <v/>
      </c>
      <c r="G125" s="129"/>
      <c r="H125" s="129"/>
      <c r="I125" s="129"/>
      <c r="J125" s="129"/>
      <c r="K125" s="129" t="str">
        <f>belugabun113&amp;""</f>
        <v/>
      </c>
      <c r="L125" t="b">
        <f>IF(oldbillingStationCustomerNumberOnly="",FALSE,shutoku113)</f>
        <v>0</v>
      </c>
    </row>
    <row r="126" spans="1:12">
      <c r="A126">
        <v>114</v>
      </c>
      <c r="B126" t="s">
        <v>70</v>
      </c>
      <c r="C126" t="str">
        <f>shubetsu114&amp;""</f>
        <v/>
      </c>
      <c r="D126" t="str">
        <f>(IF(削除番明[[#This Row],[請求種別]]="2",(LEFT(billid114,10)),billid114))&amp;""</f>
        <v/>
      </c>
      <c r="E126" t="str">
        <f>UPPER(SUBSTITUTE(削除番明[[#This Row],[ご請求番号]],"-",""))</f>
        <v/>
      </c>
      <c r="F126" s="129" t="str">
        <f>keiyakuid114&amp;""</f>
        <v/>
      </c>
      <c r="G126" s="129"/>
      <c r="H126" s="129"/>
      <c r="I126" s="129"/>
      <c r="J126" s="129"/>
      <c r="K126" s="129" t="str">
        <f>belugabun114&amp;""</f>
        <v/>
      </c>
      <c r="L126" t="b">
        <f>IF(oldbillingStationCustomerNumberOnly="",FALSE,shutoku114)</f>
        <v>0</v>
      </c>
    </row>
    <row r="127" spans="1:12">
      <c r="A127">
        <v>115</v>
      </c>
      <c r="B127" t="s">
        <v>70</v>
      </c>
      <c r="C127" t="str">
        <f>shubetsu115&amp;""</f>
        <v/>
      </c>
      <c r="D127" t="str">
        <f>(IF(削除番明[[#This Row],[請求種別]]="2",(LEFT(billid115,10)),billid115))&amp;""</f>
        <v/>
      </c>
      <c r="E127" t="str">
        <f>UPPER(SUBSTITUTE(削除番明[[#This Row],[ご請求番号]],"-",""))</f>
        <v/>
      </c>
      <c r="F127" s="129" t="str">
        <f>keiyakuid115&amp;""</f>
        <v/>
      </c>
      <c r="G127" s="129"/>
      <c r="H127" s="129"/>
      <c r="I127" s="129"/>
      <c r="J127" s="129"/>
      <c r="K127" s="129" t="str">
        <f>belugabun115&amp;""</f>
        <v/>
      </c>
      <c r="L127" t="b">
        <f>IF(oldbillingStationCustomerNumberOnly="",FALSE,shutoku115)</f>
        <v>0</v>
      </c>
    </row>
    <row r="128" spans="1:12">
      <c r="A128">
        <v>116</v>
      </c>
      <c r="B128" t="s">
        <v>70</v>
      </c>
      <c r="C128" t="str">
        <f>shubetsu116&amp;""</f>
        <v/>
      </c>
      <c r="D128" t="str">
        <f>(IF(削除番明[[#This Row],[請求種別]]="2",(LEFT(billid116,10)),billid116))&amp;""</f>
        <v/>
      </c>
      <c r="E128" t="str">
        <f>UPPER(SUBSTITUTE(削除番明[[#This Row],[ご請求番号]],"-",""))</f>
        <v/>
      </c>
      <c r="F128" s="129" t="str">
        <f>keiyakuid116&amp;""</f>
        <v/>
      </c>
      <c r="G128" s="129"/>
      <c r="H128" s="129"/>
      <c r="I128" s="129"/>
      <c r="J128" s="129"/>
      <c r="K128" s="129" t="str">
        <f>belugabun116&amp;""</f>
        <v/>
      </c>
      <c r="L128" t="b">
        <f>IF(oldbillingStationCustomerNumberOnly="",FALSE,shutoku116)</f>
        <v>0</v>
      </c>
    </row>
    <row r="129" spans="1:12">
      <c r="A129">
        <v>117</v>
      </c>
      <c r="B129" t="s">
        <v>70</v>
      </c>
      <c r="C129" t="str">
        <f>shubetsu117&amp;""</f>
        <v/>
      </c>
      <c r="D129" t="str">
        <f>(IF(削除番明[[#This Row],[請求種別]]="2",(LEFT(billid117,10)),billid117))&amp;""</f>
        <v/>
      </c>
      <c r="E129" t="str">
        <f>UPPER(SUBSTITUTE(削除番明[[#This Row],[ご請求番号]],"-",""))</f>
        <v/>
      </c>
      <c r="F129" s="129" t="str">
        <f>keiyakuid117&amp;""</f>
        <v/>
      </c>
      <c r="G129" s="129"/>
      <c r="H129" s="129"/>
      <c r="I129" s="129"/>
      <c r="J129" s="129"/>
      <c r="K129" s="129" t="str">
        <f>belugabun117&amp;""</f>
        <v/>
      </c>
      <c r="L129" t="b">
        <f>IF(oldbillingStationCustomerNumberOnly="",FALSE,shutoku117)</f>
        <v>0</v>
      </c>
    </row>
    <row r="130" spans="1:12">
      <c r="A130">
        <v>118</v>
      </c>
      <c r="B130" t="s">
        <v>70</v>
      </c>
      <c r="C130" t="str">
        <f>shubetsu118&amp;""</f>
        <v/>
      </c>
      <c r="D130" t="str">
        <f>(IF(削除番明[[#This Row],[請求種別]]="2",(LEFT(billid118,10)),billid118))&amp;""</f>
        <v/>
      </c>
      <c r="E130" t="str">
        <f>UPPER(SUBSTITUTE(削除番明[[#This Row],[ご請求番号]],"-",""))</f>
        <v/>
      </c>
      <c r="F130" s="129" t="str">
        <f>keiyakuid118&amp;""</f>
        <v/>
      </c>
      <c r="G130" s="129"/>
      <c r="H130" s="129"/>
      <c r="I130" s="129"/>
      <c r="J130" s="129"/>
      <c r="K130" s="129" t="str">
        <f>belugabun118&amp;""</f>
        <v/>
      </c>
      <c r="L130" t="b">
        <f>IF(oldbillingStationCustomerNumberOnly="",FALSE,shutoku118)</f>
        <v>0</v>
      </c>
    </row>
    <row r="131" spans="1:12">
      <c r="A131">
        <v>119</v>
      </c>
      <c r="B131" t="s">
        <v>70</v>
      </c>
      <c r="C131" t="str">
        <f>shubetsu119&amp;""</f>
        <v/>
      </c>
      <c r="D131" t="str">
        <f>(IF(削除番明[[#This Row],[請求種別]]="2",(LEFT(billid119,10)),billid119))&amp;""</f>
        <v/>
      </c>
      <c r="E131" t="str">
        <f>UPPER(SUBSTITUTE(削除番明[[#This Row],[ご請求番号]],"-",""))</f>
        <v/>
      </c>
      <c r="F131" s="129" t="str">
        <f>keiyakuid119&amp;""</f>
        <v/>
      </c>
      <c r="G131" s="129"/>
      <c r="H131" s="129"/>
      <c r="I131" s="129"/>
      <c r="J131" s="129"/>
      <c r="K131" s="129" t="str">
        <f>belugabun119&amp;""</f>
        <v/>
      </c>
      <c r="L131" t="b">
        <f>IF(oldbillingStationCustomerNumberOnly="",FALSE,shutoku119)</f>
        <v>0</v>
      </c>
    </row>
    <row r="132" spans="1:12">
      <c r="A132">
        <v>120</v>
      </c>
      <c r="B132" t="s">
        <v>70</v>
      </c>
      <c r="C132" t="str">
        <f>shubetsu120&amp;""</f>
        <v/>
      </c>
      <c r="D132" t="str">
        <f>(IF(削除番明[[#This Row],[請求種別]]="2",(LEFT(billid120,10)),billid120))&amp;""</f>
        <v/>
      </c>
      <c r="E132" t="str">
        <f>UPPER(SUBSTITUTE(削除番明[[#This Row],[ご請求番号]],"-",""))</f>
        <v/>
      </c>
      <c r="F132" s="129" t="str">
        <f>keiyakuid120&amp;""</f>
        <v/>
      </c>
      <c r="G132" s="129"/>
      <c r="H132" s="129"/>
      <c r="I132" s="129"/>
      <c r="J132" s="129"/>
      <c r="K132" s="129" t="str">
        <f>belugabun120&amp;""</f>
        <v/>
      </c>
      <c r="L132" t="b">
        <f>IF(oldbillingStationCustomerNumberOnly="",FALSE,shutoku120)</f>
        <v>0</v>
      </c>
    </row>
    <row r="133" spans="1:12">
      <c r="A133">
        <v>121</v>
      </c>
      <c r="B133" t="s">
        <v>70</v>
      </c>
      <c r="C133" t="str">
        <f>shubetsu121&amp;""</f>
        <v/>
      </c>
      <c r="D133" t="str">
        <f>(IF(削除番明[[#This Row],[請求種別]]="2",(LEFT(billid121,10)),billid121))&amp;""</f>
        <v/>
      </c>
      <c r="E133" t="str">
        <f>UPPER(SUBSTITUTE(削除番明[[#This Row],[ご請求番号]],"-",""))</f>
        <v/>
      </c>
      <c r="F133" s="129" t="str">
        <f>keiyakuid121&amp;""</f>
        <v/>
      </c>
      <c r="G133" s="129"/>
      <c r="H133" s="129"/>
      <c r="I133" s="129"/>
      <c r="J133" s="129"/>
      <c r="K133" s="129" t="str">
        <f>belugabun121&amp;""</f>
        <v/>
      </c>
      <c r="L133" t="b">
        <f>IF(oldbillingStationCustomerNumberOnly="",FALSE,shutoku121)</f>
        <v>0</v>
      </c>
    </row>
    <row r="134" spans="1:12">
      <c r="A134">
        <v>122</v>
      </c>
      <c r="B134" t="s">
        <v>70</v>
      </c>
      <c r="C134" t="str">
        <f>shubetsu122&amp;""</f>
        <v/>
      </c>
      <c r="D134" t="str">
        <f>(IF(削除番明[[#This Row],[請求種別]]="2",(LEFT(billid122,10)),billid122))&amp;""</f>
        <v/>
      </c>
      <c r="E134" t="str">
        <f>UPPER(SUBSTITUTE(削除番明[[#This Row],[ご請求番号]],"-",""))</f>
        <v/>
      </c>
      <c r="F134" s="129" t="str">
        <f>keiyakuid122&amp;""</f>
        <v/>
      </c>
      <c r="G134" s="129"/>
      <c r="H134" s="129"/>
      <c r="I134" s="129"/>
      <c r="J134" s="129"/>
      <c r="K134" s="129" t="str">
        <f>belugabun122&amp;""</f>
        <v/>
      </c>
      <c r="L134" t="b">
        <f>IF(oldbillingStationCustomerNumberOnly="",FALSE,shutoku122)</f>
        <v>0</v>
      </c>
    </row>
    <row r="135" spans="1:12">
      <c r="A135">
        <v>123</v>
      </c>
      <c r="B135" t="s">
        <v>70</v>
      </c>
      <c r="C135" t="str">
        <f>shubetsu123&amp;""</f>
        <v/>
      </c>
      <c r="D135" t="str">
        <f>(IF(削除番明[[#This Row],[請求種別]]="2",(LEFT(billid123,10)),billid123))&amp;""</f>
        <v/>
      </c>
      <c r="E135" t="str">
        <f>UPPER(SUBSTITUTE(削除番明[[#This Row],[ご請求番号]],"-",""))</f>
        <v/>
      </c>
      <c r="F135" s="129" t="str">
        <f>keiyakuid123&amp;""</f>
        <v/>
      </c>
      <c r="G135" s="129"/>
      <c r="H135" s="129"/>
      <c r="I135" s="129"/>
      <c r="J135" s="129"/>
      <c r="K135" s="129" t="str">
        <f>belugabun123&amp;""</f>
        <v/>
      </c>
      <c r="L135" t="b">
        <f>IF(oldbillingStationCustomerNumberOnly="",FALSE,shutoku123)</f>
        <v>0</v>
      </c>
    </row>
    <row r="136" spans="1:12">
      <c r="A136">
        <v>124</v>
      </c>
      <c r="B136" t="s">
        <v>70</v>
      </c>
      <c r="C136" t="str">
        <f>shubetsu124&amp;""</f>
        <v/>
      </c>
      <c r="D136" t="str">
        <f>(IF(削除番明[[#This Row],[請求種別]]="2",(LEFT(billid124,10)),billid124))&amp;""</f>
        <v/>
      </c>
      <c r="E136" t="str">
        <f>UPPER(SUBSTITUTE(削除番明[[#This Row],[ご請求番号]],"-",""))</f>
        <v/>
      </c>
      <c r="F136" s="129" t="str">
        <f>keiyakuid124&amp;""</f>
        <v/>
      </c>
      <c r="G136" s="129"/>
      <c r="H136" s="129"/>
      <c r="I136" s="129"/>
      <c r="J136" s="129"/>
      <c r="K136" s="129" t="str">
        <f>belugabun124&amp;""</f>
        <v/>
      </c>
      <c r="L136" t="b">
        <f>IF(oldbillingStationCustomerNumberOnly="",FALSE,shutoku124)</f>
        <v>0</v>
      </c>
    </row>
    <row r="137" spans="1:12">
      <c r="A137">
        <v>125</v>
      </c>
      <c r="B137" t="s">
        <v>70</v>
      </c>
      <c r="C137" t="str">
        <f>shubetsu125&amp;""</f>
        <v/>
      </c>
      <c r="D137" t="str">
        <f>(IF(削除番明[[#This Row],[請求種別]]="2",(LEFT(billid125,10)),billid125))&amp;""</f>
        <v/>
      </c>
      <c r="E137" t="str">
        <f>UPPER(SUBSTITUTE(削除番明[[#This Row],[ご請求番号]],"-",""))</f>
        <v/>
      </c>
      <c r="F137" s="129" t="str">
        <f>keiyakuid125&amp;""</f>
        <v/>
      </c>
      <c r="G137" s="129"/>
      <c r="H137" s="129"/>
      <c r="I137" s="129"/>
      <c r="J137" s="129"/>
      <c r="K137" s="129" t="str">
        <f>belugabun125&amp;""</f>
        <v/>
      </c>
      <c r="L137" t="b">
        <f>IF(oldbillingStationCustomerNumberOnly="",FALSE,shutoku125)</f>
        <v>0</v>
      </c>
    </row>
    <row r="138" spans="1:12">
      <c r="A138">
        <v>126</v>
      </c>
      <c r="B138" t="s">
        <v>70</v>
      </c>
      <c r="C138" t="str">
        <f>shubetsu126&amp;""</f>
        <v/>
      </c>
      <c r="D138" t="str">
        <f>(IF(削除番明[[#This Row],[請求種別]]="2",(LEFT(billid126,10)),billid126))&amp;""</f>
        <v/>
      </c>
      <c r="E138" t="str">
        <f>UPPER(SUBSTITUTE(削除番明[[#This Row],[ご請求番号]],"-",""))</f>
        <v/>
      </c>
      <c r="F138" s="129" t="str">
        <f>keiyakuid126&amp;""</f>
        <v/>
      </c>
      <c r="G138" s="129"/>
      <c r="H138" s="129"/>
      <c r="I138" s="129"/>
      <c r="J138" s="129"/>
      <c r="K138" s="129" t="str">
        <f>belugabun126&amp;""</f>
        <v/>
      </c>
      <c r="L138" t="b">
        <f>IF(oldbillingStationCustomerNumberOnly="",FALSE,shutoku126)</f>
        <v>0</v>
      </c>
    </row>
    <row r="139" spans="1:12">
      <c r="A139">
        <v>127</v>
      </c>
      <c r="B139" t="s">
        <v>70</v>
      </c>
      <c r="C139" t="str">
        <f>shubetsu127&amp;""</f>
        <v/>
      </c>
      <c r="D139" t="str">
        <f>(IF(削除番明[[#This Row],[請求種別]]="2",(LEFT(billid127,10)),billid127))&amp;""</f>
        <v/>
      </c>
      <c r="E139" t="str">
        <f>UPPER(SUBSTITUTE(削除番明[[#This Row],[ご請求番号]],"-",""))</f>
        <v/>
      </c>
      <c r="F139" s="129" t="str">
        <f>keiyakuid127&amp;""</f>
        <v/>
      </c>
      <c r="G139" s="129"/>
      <c r="H139" s="129"/>
      <c r="I139" s="129"/>
      <c r="J139" s="129"/>
      <c r="K139" s="129" t="str">
        <f>belugabun127&amp;""</f>
        <v/>
      </c>
      <c r="L139" t="b">
        <f>IF(oldbillingStationCustomerNumberOnly="",FALSE,shutoku127)</f>
        <v>0</v>
      </c>
    </row>
    <row r="140" spans="1:12">
      <c r="A140">
        <v>128</v>
      </c>
      <c r="B140" t="s">
        <v>70</v>
      </c>
      <c r="C140" t="str">
        <f>shubetsu128&amp;""</f>
        <v/>
      </c>
      <c r="D140" t="str">
        <f>(IF(削除番明[[#This Row],[請求種別]]="2",(LEFT(billid128,10)),billid128))&amp;""</f>
        <v/>
      </c>
      <c r="E140" t="str">
        <f>UPPER(SUBSTITUTE(削除番明[[#This Row],[ご請求番号]],"-",""))</f>
        <v/>
      </c>
      <c r="F140" s="129" t="str">
        <f>keiyakuid128&amp;""</f>
        <v/>
      </c>
      <c r="G140" s="129"/>
      <c r="H140" s="129"/>
      <c r="I140" s="129"/>
      <c r="J140" s="129"/>
      <c r="K140" s="129" t="str">
        <f>belugabun128&amp;""</f>
        <v/>
      </c>
      <c r="L140" t="b">
        <f>IF(oldbillingStationCustomerNumberOnly="",FALSE,shutoku128)</f>
        <v>0</v>
      </c>
    </row>
    <row r="141" spans="1:12">
      <c r="A141">
        <v>129</v>
      </c>
      <c r="B141" t="s">
        <v>70</v>
      </c>
      <c r="C141" t="str">
        <f>shubetsu129&amp;""</f>
        <v/>
      </c>
      <c r="D141" t="str">
        <f>(IF(削除番明[[#This Row],[請求種別]]="2",(LEFT(billid129,10)),billid129))&amp;""</f>
        <v/>
      </c>
      <c r="E141" t="str">
        <f>UPPER(SUBSTITUTE(削除番明[[#This Row],[ご請求番号]],"-",""))</f>
        <v/>
      </c>
      <c r="F141" s="129" t="str">
        <f>keiyakuid129&amp;""</f>
        <v/>
      </c>
      <c r="G141" s="129"/>
      <c r="H141" s="129"/>
      <c r="I141" s="129"/>
      <c r="J141" s="129"/>
      <c r="K141" s="129" t="str">
        <f>belugabun129&amp;""</f>
        <v/>
      </c>
      <c r="L141" t="b">
        <f>IF(oldbillingStationCustomerNumberOnly="",FALSE,shutoku129)</f>
        <v>0</v>
      </c>
    </row>
    <row r="142" spans="1:12">
      <c r="A142">
        <v>130</v>
      </c>
      <c r="B142" t="s">
        <v>70</v>
      </c>
      <c r="C142" t="str">
        <f>shubetsu130&amp;""</f>
        <v/>
      </c>
      <c r="D142" t="str">
        <f>(IF(削除番明[[#This Row],[請求種別]]="2",(LEFT(billid130,10)),billid130))&amp;""</f>
        <v/>
      </c>
      <c r="E142" t="str">
        <f>UPPER(SUBSTITUTE(削除番明[[#This Row],[ご請求番号]],"-",""))</f>
        <v/>
      </c>
      <c r="F142" s="129" t="str">
        <f>keiyakuid130&amp;""</f>
        <v/>
      </c>
      <c r="G142" s="129"/>
      <c r="H142" s="129"/>
      <c r="I142" s="129"/>
      <c r="J142" s="129"/>
      <c r="K142" s="129" t="str">
        <f>belugabun130&amp;""</f>
        <v/>
      </c>
      <c r="L142" t="b">
        <f>IF(oldbillingStationCustomerNumberOnly="",FALSE,shutoku130)</f>
        <v>0</v>
      </c>
    </row>
    <row r="143" spans="1:12">
      <c r="A143">
        <v>131</v>
      </c>
      <c r="B143" t="s">
        <v>70</v>
      </c>
      <c r="C143" t="str">
        <f>shubetsu131&amp;""</f>
        <v/>
      </c>
      <c r="D143" t="str">
        <f>(IF(削除番明[[#This Row],[請求種別]]="2",(LEFT(billid131,10)),billid131))&amp;""</f>
        <v/>
      </c>
      <c r="E143" t="str">
        <f>UPPER(SUBSTITUTE(削除番明[[#This Row],[ご請求番号]],"-",""))</f>
        <v/>
      </c>
      <c r="F143" s="129" t="str">
        <f>keiyakuid131&amp;""</f>
        <v/>
      </c>
      <c r="G143" s="129"/>
      <c r="H143" s="129"/>
      <c r="I143" s="129"/>
      <c r="J143" s="129"/>
      <c r="K143" s="129" t="str">
        <f>belugabun131&amp;""</f>
        <v/>
      </c>
      <c r="L143" t="b">
        <f>IF(oldbillingStationCustomerNumberOnly="",FALSE,shutoku131)</f>
        <v>0</v>
      </c>
    </row>
    <row r="144" spans="1:12">
      <c r="A144">
        <v>132</v>
      </c>
      <c r="B144" t="s">
        <v>70</v>
      </c>
      <c r="C144" t="str">
        <f>shubetsu132&amp;""</f>
        <v/>
      </c>
      <c r="D144" t="str">
        <f>(IF(削除番明[[#This Row],[請求種別]]="2",(LEFT(billid132,10)),billid132))&amp;""</f>
        <v/>
      </c>
      <c r="E144" t="str">
        <f>UPPER(SUBSTITUTE(削除番明[[#This Row],[ご請求番号]],"-",""))</f>
        <v/>
      </c>
      <c r="F144" s="129" t="str">
        <f>keiyakuid132&amp;""</f>
        <v/>
      </c>
      <c r="G144" s="129"/>
      <c r="H144" s="129"/>
      <c r="I144" s="129"/>
      <c r="J144" s="129"/>
      <c r="K144" s="129" t="str">
        <f>belugabun132&amp;""</f>
        <v/>
      </c>
      <c r="L144" t="b">
        <f>IF(oldbillingStationCustomerNumberOnly="",FALSE,shutoku132)</f>
        <v>0</v>
      </c>
    </row>
    <row r="145" spans="1:12">
      <c r="A145">
        <v>133</v>
      </c>
      <c r="B145" t="s">
        <v>70</v>
      </c>
      <c r="C145" t="str">
        <f>shubetsu133&amp;""</f>
        <v/>
      </c>
      <c r="D145" t="str">
        <f>(IF(削除番明[[#This Row],[請求種別]]="2",(LEFT(billid133,10)),billid133))&amp;""</f>
        <v/>
      </c>
      <c r="E145" t="str">
        <f>UPPER(SUBSTITUTE(削除番明[[#This Row],[ご請求番号]],"-",""))</f>
        <v/>
      </c>
      <c r="F145" s="129" t="str">
        <f>keiyakuid133&amp;""</f>
        <v/>
      </c>
      <c r="G145" s="129"/>
      <c r="H145" s="129"/>
      <c r="I145" s="129"/>
      <c r="J145" s="129"/>
      <c r="K145" s="129" t="str">
        <f>belugabun133&amp;""</f>
        <v/>
      </c>
      <c r="L145" t="b">
        <f>IF(oldbillingStationCustomerNumberOnly="",FALSE,shutoku133)</f>
        <v>0</v>
      </c>
    </row>
    <row r="146" spans="1:12">
      <c r="A146">
        <v>134</v>
      </c>
      <c r="B146" t="s">
        <v>70</v>
      </c>
      <c r="C146" t="str">
        <f>shubetsu134&amp;""</f>
        <v/>
      </c>
      <c r="D146" t="str">
        <f>(IF(削除番明[[#This Row],[請求種別]]="2",(LEFT(billid134,10)),billid134))&amp;""</f>
        <v/>
      </c>
      <c r="E146" t="str">
        <f>UPPER(SUBSTITUTE(削除番明[[#This Row],[ご請求番号]],"-",""))</f>
        <v/>
      </c>
      <c r="F146" s="129" t="str">
        <f>keiyakuid134&amp;""</f>
        <v/>
      </c>
      <c r="G146" s="129"/>
      <c r="H146" s="129"/>
      <c r="I146" s="129"/>
      <c r="J146" s="129"/>
      <c r="K146" s="129" t="str">
        <f>belugabun134&amp;""</f>
        <v/>
      </c>
      <c r="L146" t="b">
        <f>IF(oldbillingStationCustomerNumberOnly="",FALSE,shutoku134)</f>
        <v>0</v>
      </c>
    </row>
    <row r="147" spans="1:12">
      <c r="A147">
        <v>135</v>
      </c>
      <c r="B147" t="s">
        <v>70</v>
      </c>
      <c r="C147" t="str">
        <f>shubetsu135&amp;""</f>
        <v/>
      </c>
      <c r="D147" t="str">
        <f>(IF(削除番明[[#This Row],[請求種別]]="2",(LEFT(billid135,10)),billid135))&amp;""</f>
        <v/>
      </c>
      <c r="E147" t="str">
        <f>UPPER(SUBSTITUTE(削除番明[[#This Row],[ご請求番号]],"-",""))</f>
        <v/>
      </c>
      <c r="F147" s="129" t="str">
        <f>keiyakuid135&amp;""</f>
        <v/>
      </c>
      <c r="G147" s="129"/>
      <c r="H147" s="129"/>
      <c r="I147" s="129"/>
      <c r="J147" s="129"/>
      <c r="K147" s="129" t="str">
        <f>belugabun135&amp;""</f>
        <v/>
      </c>
      <c r="L147" t="b">
        <f>IF(oldbillingStationCustomerNumberOnly="",FALSE,shutoku135)</f>
        <v>0</v>
      </c>
    </row>
    <row r="148" spans="1:12">
      <c r="A148">
        <v>136</v>
      </c>
      <c r="B148" t="s">
        <v>70</v>
      </c>
      <c r="C148" t="str">
        <f>shubetsu136&amp;""</f>
        <v/>
      </c>
      <c r="D148" t="str">
        <f>(IF(削除番明[[#This Row],[請求種別]]="2",(LEFT(billid136,10)),billid136))&amp;""</f>
        <v/>
      </c>
      <c r="E148" t="str">
        <f>UPPER(SUBSTITUTE(削除番明[[#This Row],[ご請求番号]],"-",""))</f>
        <v/>
      </c>
      <c r="F148" s="129" t="str">
        <f>keiyakuid136&amp;""</f>
        <v/>
      </c>
      <c r="G148" s="129"/>
      <c r="H148" s="129"/>
      <c r="I148" s="129"/>
      <c r="J148" s="129"/>
      <c r="K148" s="129" t="str">
        <f>belugabun136&amp;""</f>
        <v/>
      </c>
      <c r="L148" t="b">
        <f>IF(oldbillingStationCustomerNumberOnly="",FALSE,shutoku136)</f>
        <v>0</v>
      </c>
    </row>
    <row r="149" spans="1:12">
      <c r="A149">
        <v>137</v>
      </c>
      <c r="B149" t="s">
        <v>70</v>
      </c>
      <c r="C149" t="str">
        <f>shubetsu137&amp;""</f>
        <v/>
      </c>
      <c r="D149" t="str">
        <f>(IF(削除番明[[#This Row],[請求種別]]="2",(LEFT(billid137,10)),billid137))&amp;""</f>
        <v/>
      </c>
      <c r="E149" t="str">
        <f>UPPER(SUBSTITUTE(削除番明[[#This Row],[ご請求番号]],"-",""))</f>
        <v/>
      </c>
      <c r="F149" s="129" t="str">
        <f>keiyakuid137&amp;""</f>
        <v/>
      </c>
      <c r="G149" s="129"/>
      <c r="H149" s="129"/>
      <c r="I149" s="129"/>
      <c r="J149" s="129"/>
      <c r="K149" s="129" t="str">
        <f>belugabun137&amp;""</f>
        <v/>
      </c>
      <c r="L149" t="b">
        <f>IF(oldbillingStationCustomerNumberOnly="",FALSE,shutoku137)</f>
        <v>0</v>
      </c>
    </row>
    <row r="150" spans="1:12">
      <c r="A150">
        <v>138</v>
      </c>
      <c r="B150" t="s">
        <v>70</v>
      </c>
      <c r="C150" t="str">
        <f>shubetsu138&amp;""</f>
        <v/>
      </c>
      <c r="D150" t="str">
        <f>(IF(削除番明[[#This Row],[請求種別]]="2",(LEFT(billid138,10)),billid138))&amp;""</f>
        <v/>
      </c>
      <c r="E150" t="str">
        <f>UPPER(SUBSTITUTE(削除番明[[#This Row],[ご請求番号]],"-",""))</f>
        <v/>
      </c>
      <c r="F150" s="129" t="str">
        <f>keiyakuid138&amp;""</f>
        <v/>
      </c>
      <c r="G150" s="129"/>
      <c r="H150" s="129"/>
      <c r="I150" s="129"/>
      <c r="J150" s="129"/>
      <c r="K150" s="129" t="str">
        <f>belugabun138&amp;""</f>
        <v/>
      </c>
      <c r="L150" t="b">
        <f>IF(oldbillingStationCustomerNumberOnly="",FALSE,shutoku138)</f>
        <v>0</v>
      </c>
    </row>
    <row r="151" spans="1:12">
      <c r="A151">
        <v>139</v>
      </c>
      <c r="B151" t="s">
        <v>70</v>
      </c>
      <c r="C151" t="str">
        <f>shubetsu139&amp;""</f>
        <v/>
      </c>
      <c r="D151" t="str">
        <f>(IF(削除番明[[#This Row],[請求種別]]="2",(LEFT(billid139,10)),billid139))&amp;""</f>
        <v/>
      </c>
      <c r="E151" t="str">
        <f>UPPER(SUBSTITUTE(削除番明[[#This Row],[ご請求番号]],"-",""))</f>
        <v/>
      </c>
      <c r="F151" s="129" t="str">
        <f>keiyakuid139&amp;""</f>
        <v/>
      </c>
      <c r="G151" s="129"/>
      <c r="H151" s="129"/>
      <c r="I151" s="129"/>
      <c r="J151" s="129"/>
      <c r="K151" s="129" t="str">
        <f>belugabun139&amp;""</f>
        <v/>
      </c>
      <c r="L151" t="b">
        <f>IF(oldbillingStationCustomerNumberOnly="",FALSE,shutoku139)</f>
        <v>0</v>
      </c>
    </row>
    <row r="152" spans="1:12">
      <c r="A152">
        <v>140</v>
      </c>
      <c r="B152" t="s">
        <v>70</v>
      </c>
      <c r="C152" t="str">
        <f>shubetsu140&amp;""</f>
        <v/>
      </c>
      <c r="D152" t="str">
        <f>(IF(削除番明[[#This Row],[請求種別]]="2",(LEFT(billid140,10)),billid140))&amp;""</f>
        <v/>
      </c>
      <c r="E152" t="str">
        <f>UPPER(SUBSTITUTE(削除番明[[#This Row],[ご請求番号]],"-",""))</f>
        <v/>
      </c>
      <c r="F152" s="129" t="str">
        <f>keiyakuid140&amp;""</f>
        <v/>
      </c>
      <c r="G152" s="129"/>
      <c r="H152" s="129"/>
      <c r="I152" s="129"/>
      <c r="J152" s="129"/>
      <c r="K152" s="129" t="str">
        <f>belugabun140&amp;""</f>
        <v/>
      </c>
      <c r="L152" t="b">
        <f>IF(oldbillingStationCustomerNumberOnly="",FALSE,shutoku140)</f>
        <v>0</v>
      </c>
    </row>
    <row r="153" spans="1:12">
      <c r="A153">
        <v>141</v>
      </c>
      <c r="B153" t="s">
        <v>70</v>
      </c>
      <c r="C153" t="str">
        <f>shubetsu141&amp;""</f>
        <v/>
      </c>
      <c r="D153" t="str">
        <f>(IF(削除番明[[#This Row],[請求種別]]="2",(LEFT(billid141,10)),billid141))&amp;""</f>
        <v/>
      </c>
      <c r="E153" t="str">
        <f>UPPER(SUBSTITUTE(削除番明[[#This Row],[ご請求番号]],"-",""))</f>
        <v/>
      </c>
      <c r="F153" s="129" t="str">
        <f>keiyakuid141&amp;""</f>
        <v/>
      </c>
      <c r="G153" s="129"/>
      <c r="H153" s="129"/>
      <c r="I153" s="129"/>
      <c r="J153" s="129"/>
      <c r="K153" s="129" t="str">
        <f>belugabun141&amp;""</f>
        <v/>
      </c>
      <c r="L153" t="b">
        <f>IF(oldbillingStationCustomerNumberOnly="",FALSE,shutoku141)</f>
        <v>0</v>
      </c>
    </row>
    <row r="154" spans="1:12">
      <c r="A154">
        <v>142</v>
      </c>
      <c r="B154" t="s">
        <v>70</v>
      </c>
      <c r="C154" t="str">
        <f>shubetsu142&amp;""</f>
        <v/>
      </c>
      <c r="D154" t="str">
        <f>(IF(削除番明[[#This Row],[請求種別]]="2",(LEFT(billid142,10)),billid142))&amp;""</f>
        <v/>
      </c>
      <c r="E154" t="str">
        <f>UPPER(SUBSTITUTE(削除番明[[#This Row],[ご請求番号]],"-",""))</f>
        <v/>
      </c>
      <c r="F154" s="129" t="str">
        <f>keiyakuid142&amp;""</f>
        <v/>
      </c>
      <c r="G154" s="129"/>
      <c r="H154" s="129"/>
      <c r="I154" s="129"/>
      <c r="J154" s="129"/>
      <c r="K154" s="129" t="str">
        <f>belugabun142&amp;""</f>
        <v/>
      </c>
      <c r="L154" t="b">
        <f>IF(oldbillingStationCustomerNumberOnly="",FALSE,shutoku142)</f>
        <v>0</v>
      </c>
    </row>
    <row r="155" spans="1:12">
      <c r="A155">
        <v>143</v>
      </c>
      <c r="B155" t="s">
        <v>70</v>
      </c>
      <c r="C155" t="str">
        <f>shubetsu143&amp;""</f>
        <v/>
      </c>
      <c r="D155" t="str">
        <f>(IF(削除番明[[#This Row],[請求種別]]="2",(LEFT(billid143,10)),billid143))&amp;""</f>
        <v/>
      </c>
      <c r="E155" t="str">
        <f>UPPER(SUBSTITUTE(削除番明[[#This Row],[ご請求番号]],"-",""))</f>
        <v/>
      </c>
      <c r="F155" s="129" t="str">
        <f>keiyakuid143&amp;""</f>
        <v/>
      </c>
      <c r="G155" s="129"/>
      <c r="H155" s="129"/>
      <c r="I155" s="129"/>
      <c r="J155" s="129"/>
      <c r="K155" s="129" t="str">
        <f>belugabun143&amp;""</f>
        <v/>
      </c>
      <c r="L155" t="b">
        <f>IF(oldbillingStationCustomerNumberOnly="",FALSE,shutoku143)</f>
        <v>0</v>
      </c>
    </row>
    <row r="156" spans="1:12">
      <c r="A156">
        <v>144</v>
      </c>
      <c r="B156" t="s">
        <v>70</v>
      </c>
      <c r="C156" t="str">
        <f>shubetsu144&amp;""</f>
        <v/>
      </c>
      <c r="D156" t="str">
        <f>(IF(削除番明[[#This Row],[請求種別]]="2",(LEFT(billid144,10)),billid144))&amp;""</f>
        <v/>
      </c>
      <c r="E156" t="str">
        <f>UPPER(SUBSTITUTE(削除番明[[#This Row],[ご請求番号]],"-",""))</f>
        <v/>
      </c>
      <c r="F156" s="129" t="str">
        <f>keiyakuid144&amp;""</f>
        <v/>
      </c>
      <c r="G156" s="129"/>
      <c r="H156" s="129"/>
      <c r="I156" s="129"/>
      <c r="J156" s="129"/>
      <c r="K156" s="129" t="str">
        <f>belugabun144&amp;""</f>
        <v/>
      </c>
      <c r="L156" t="b">
        <f>IF(oldbillingStationCustomerNumberOnly="",FALSE,shutoku144)</f>
        <v>0</v>
      </c>
    </row>
    <row r="157" spans="1:12">
      <c r="A157">
        <v>145</v>
      </c>
      <c r="B157" t="s">
        <v>70</v>
      </c>
      <c r="C157" t="str">
        <f>shubetsu145&amp;""</f>
        <v/>
      </c>
      <c r="D157" t="str">
        <f>(IF(削除番明[[#This Row],[請求種別]]="2",(LEFT(billid145,10)),billid145))&amp;""</f>
        <v/>
      </c>
      <c r="E157" t="str">
        <f>UPPER(SUBSTITUTE(削除番明[[#This Row],[ご請求番号]],"-",""))</f>
        <v/>
      </c>
      <c r="F157" s="129" t="str">
        <f>keiyakuid145&amp;""</f>
        <v/>
      </c>
      <c r="G157" s="129"/>
      <c r="H157" s="129"/>
      <c r="I157" s="129"/>
      <c r="J157" s="129"/>
      <c r="K157" s="129" t="str">
        <f>belugabun145&amp;""</f>
        <v/>
      </c>
      <c r="L157" t="b">
        <f>IF(oldbillingStationCustomerNumberOnly="",FALSE,shutoku145)</f>
        <v>0</v>
      </c>
    </row>
    <row r="158" spans="1:12">
      <c r="A158">
        <v>146</v>
      </c>
      <c r="B158" t="s">
        <v>70</v>
      </c>
      <c r="C158" t="str">
        <f>shubetsu146&amp;""</f>
        <v/>
      </c>
      <c r="D158" t="str">
        <f>(IF(削除番明[[#This Row],[請求種別]]="2",(LEFT(billid146,10)),billid146))&amp;""</f>
        <v/>
      </c>
      <c r="E158" t="str">
        <f>UPPER(SUBSTITUTE(削除番明[[#This Row],[ご請求番号]],"-",""))</f>
        <v/>
      </c>
      <c r="F158" s="129" t="str">
        <f>keiyakuid146&amp;""</f>
        <v/>
      </c>
      <c r="G158" s="129"/>
      <c r="H158" s="129"/>
      <c r="I158" s="129"/>
      <c r="J158" s="129"/>
      <c r="K158" s="129" t="str">
        <f>belugabun146&amp;""</f>
        <v/>
      </c>
      <c r="L158" t="b">
        <f>IF(oldbillingStationCustomerNumberOnly="",FALSE,shutoku146)</f>
        <v>0</v>
      </c>
    </row>
    <row r="159" spans="1:12">
      <c r="A159">
        <v>147</v>
      </c>
      <c r="B159" t="s">
        <v>70</v>
      </c>
      <c r="C159" t="str">
        <f>shubetsu147&amp;""</f>
        <v/>
      </c>
      <c r="D159" t="str">
        <f>(IF(削除番明[[#This Row],[請求種別]]="2",(LEFT(billid147,10)),billid147))&amp;""</f>
        <v/>
      </c>
      <c r="E159" t="str">
        <f>UPPER(SUBSTITUTE(削除番明[[#This Row],[ご請求番号]],"-",""))</f>
        <v/>
      </c>
      <c r="F159" s="129" t="str">
        <f>keiyakuid147&amp;""</f>
        <v/>
      </c>
      <c r="G159" s="129"/>
      <c r="H159" s="129"/>
      <c r="I159" s="129"/>
      <c r="J159" s="129"/>
      <c r="K159" s="129" t="str">
        <f>belugabun147&amp;""</f>
        <v/>
      </c>
      <c r="L159" t="b">
        <f>IF(oldbillingStationCustomerNumberOnly="",FALSE,shutoku147)</f>
        <v>0</v>
      </c>
    </row>
    <row r="160" spans="1:12">
      <c r="A160">
        <v>148</v>
      </c>
      <c r="B160" t="s">
        <v>70</v>
      </c>
      <c r="C160" t="str">
        <f>shubetsu148&amp;""</f>
        <v/>
      </c>
      <c r="D160" t="str">
        <f>(IF(削除番明[[#This Row],[請求種別]]="2",(LEFT(billid148,10)),billid148))&amp;""</f>
        <v/>
      </c>
      <c r="E160" t="str">
        <f>UPPER(SUBSTITUTE(削除番明[[#This Row],[ご請求番号]],"-",""))</f>
        <v/>
      </c>
      <c r="F160" s="129" t="str">
        <f>keiyakuid148&amp;""</f>
        <v/>
      </c>
      <c r="G160" s="129"/>
      <c r="H160" s="129"/>
      <c r="I160" s="129"/>
      <c r="J160" s="129"/>
      <c r="K160" s="129" t="str">
        <f>belugabun148&amp;""</f>
        <v/>
      </c>
      <c r="L160" t="b">
        <f>IF(oldbillingStationCustomerNumberOnly="",FALSE,shutoku148)</f>
        <v>0</v>
      </c>
    </row>
    <row r="161" spans="1:12">
      <c r="A161">
        <v>149</v>
      </c>
      <c r="B161" t="s">
        <v>70</v>
      </c>
      <c r="C161" t="str">
        <f>shubetsu149&amp;""</f>
        <v/>
      </c>
      <c r="D161" t="str">
        <f>(IF(削除番明[[#This Row],[請求種別]]="2",(LEFT(billid149,10)),billid149))&amp;""</f>
        <v/>
      </c>
      <c r="E161" t="str">
        <f>UPPER(SUBSTITUTE(削除番明[[#This Row],[ご請求番号]],"-",""))</f>
        <v/>
      </c>
      <c r="F161" s="129" t="str">
        <f>keiyakuid149&amp;""</f>
        <v/>
      </c>
      <c r="G161" s="129"/>
      <c r="H161" s="129"/>
      <c r="I161" s="129"/>
      <c r="J161" s="129"/>
      <c r="K161" s="129" t="str">
        <f>belugabun149&amp;""</f>
        <v/>
      </c>
      <c r="L161" t="b">
        <f>IF(oldbillingStationCustomerNumberOnly="",FALSE,shutoku149)</f>
        <v>0</v>
      </c>
    </row>
    <row r="162" spans="1:12">
      <c r="A162">
        <v>150</v>
      </c>
      <c r="B162" t="s">
        <v>70</v>
      </c>
      <c r="C162" t="str">
        <f>shubetsu150&amp;""</f>
        <v/>
      </c>
      <c r="D162" t="str">
        <f>(IF(削除番明[[#This Row],[請求種別]]="2",(LEFT(billid150,10)),billid150))&amp;""</f>
        <v/>
      </c>
      <c r="E162" t="str">
        <f>UPPER(SUBSTITUTE(削除番明[[#This Row],[ご請求番号]],"-",""))</f>
        <v/>
      </c>
      <c r="F162" s="129" t="str">
        <f>keiyakuid150&amp;""</f>
        <v/>
      </c>
      <c r="G162" s="129"/>
      <c r="H162" s="129"/>
      <c r="I162" s="129"/>
      <c r="J162" s="129"/>
      <c r="K162" s="129" t="str">
        <f>belugabun150&amp;""</f>
        <v/>
      </c>
      <c r="L162" t="b">
        <f>IF(oldbillingStationCustomerNumberOnly="",FALSE,shutoku150)</f>
        <v>0</v>
      </c>
    </row>
    <row r="163" spans="1:12">
      <c r="A163">
        <v>151</v>
      </c>
      <c r="B163" t="s">
        <v>70</v>
      </c>
      <c r="C163" t="str">
        <f>shubetsu151&amp;""</f>
        <v/>
      </c>
      <c r="D163" t="str">
        <f>(IF(削除番明[[#This Row],[請求種別]]="2",(LEFT(billid151,10)),billid151))&amp;""</f>
        <v/>
      </c>
      <c r="E163" t="str">
        <f>UPPER(SUBSTITUTE(削除番明[[#This Row],[ご請求番号]],"-",""))</f>
        <v/>
      </c>
      <c r="F163" s="129" t="str">
        <f>keiyakuid151&amp;""</f>
        <v/>
      </c>
      <c r="G163" s="129"/>
      <c r="H163" s="129"/>
      <c r="I163" s="129"/>
      <c r="J163" s="129"/>
      <c r="K163" s="129" t="str">
        <f>belugabun151&amp;""</f>
        <v/>
      </c>
      <c r="L163" t="b">
        <f>IF(oldbillingStationCustomerNumberOnly="",FALSE,shutoku151)</f>
        <v>0</v>
      </c>
    </row>
    <row r="164" spans="1:12">
      <c r="A164">
        <v>152</v>
      </c>
      <c r="B164" t="s">
        <v>70</v>
      </c>
      <c r="C164" t="str">
        <f>shubetsu152&amp;""</f>
        <v/>
      </c>
      <c r="D164" t="str">
        <f>(IF(削除番明[[#This Row],[請求種別]]="2",(LEFT(billid152,10)),billid152))&amp;""</f>
        <v/>
      </c>
      <c r="E164" t="str">
        <f>UPPER(SUBSTITUTE(削除番明[[#This Row],[ご請求番号]],"-",""))</f>
        <v/>
      </c>
      <c r="F164" s="129" t="str">
        <f>keiyakuid152&amp;""</f>
        <v/>
      </c>
      <c r="G164" s="129"/>
      <c r="H164" s="129"/>
      <c r="I164" s="129"/>
      <c r="J164" s="129"/>
      <c r="K164" s="129" t="str">
        <f>belugabun152&amp;""</f>
        <v/>
      </c>
      <c r="L164" t="b">
        <f>IF(oldbillingStationCustomerNumberOnly="",FALSE,shutoku152)</f>
        <v>0</v>
      </c>
    </row>
    <row r="165" spans="1:12">
      <c r="A165">
        <v>153</v>
      </c>
      <c r="B165" t="s">
        <v>70</v>
      </c>
      <c r="C165" t="str">
        <f>shubetsu153&amp;""</f>
        <v/>
      </c>
      <c r="D165" t="str">
        <f>(IF(削除番明[[#This Row],[請求種別]]="2",(LEFT(billid153,10)),billid153))&amp;""</f>
        <v/>
      </c>
      <c r="E165" t="str">
        <f>UPPER(SUBSTITUTE(削除番明[[#This Row],[ご請求番号]],"-",""))</f>
        <v/>
      </c>
      <c r="F165" s="129" t="str">
        <f>keiyakuid153&amp;""</f>
        <v/>
      </c>
      <c r="G165" s="129"/>
      <c r="H165" s="129"/>
      <c r="I165" s="129"/>
      <c r="J165" s="129"/>
      <c r="K165" s="129" t="str">
        <f>belugabun153&amp;""</f>
        <v/>
      </c>
      <c r="L165" t="b">
        <f>IF(oldbillingStationCustomerNumberOnly="",FALSE,shutoku153)</f>
        <v>0</v>
      </c>
    </row>
    <row r="166" spans="1:12">
      <c r="A166">
        <v>154</v>
      </c>
      <c r="B166" t="s">
        <v>70</v>
      </c>
      <c r="C166" t="str">
        <f>shubetsu154&amp;""</f>
        <v/>
      </c>
      <c r="D166" t="str">
        <f>(IF(削除番明[[#This Row],[請求種別]]="2",(LEFT(billid154,10)),billid154))&amp;""</f>
        <v/>
      </c>
      <c r="E166" t="str">
        <f>UPPER(SUBSTITUTE(削除番明[[#This Row],[ご請求番号]],"-",""))</f>
        <v/>
      </c>
      <c r="F166" s="129" t="str">
        <f>keiyakuid154&amp;""</f>
        <v/>
      </c>
      <c r="G166" s="129"/>
      <c r="H166" s="129"/>
      <c r="I166" s="129"/>
      <c r="J166" s="129"/>
      <c r="K166" s="129" t="str">
        <f>belugabun154&amp;""</f>
        <v/>
      </c>
      <c r="L166" t="b">
        <f>IF(oldbillingStationCustomerNumberOnly="",FALSE,shutoku154)</f>
        <v>0</v>
      </c>
    </row>
    <row r="167" spans="1:12">
      <c r="A167">
        <v>155</v>
      </c>
      <c r="B167" t="s">
        <v>70</v>
      </c>
      <c r="C167" t="str">
        <f>shubetsu155&amp;""</f>
        <v/>
      </c>
      <c r="D167" t="str">
        <f>(IF(削除番明[[#This Row],[請求種別]]="2",(LEFT(billid155,10)),billid155))&amp;""</f>
        <v/>
      </c>
      <c r="E167" t="str">
        <f>UPPER(SUBSTITUTE(削除番明[[#This Row],[ご請求番号]],"-",""))</f>
        <v/>
      </c>
      <c r="F167" s="129" t="str">
        <f>keiyakuid155&amp;""</f>
        <v/>
      </c>
      <c r="G167" s="129"/>
      <c r="H167" s="129"/>
      <c r="I167" s="129"/>
      <c r="J167" s="129"/>
      <c r="K167" s="129" t="str">
        <f>belugabun155&amp;""</f>
        <v/>
      </c>
      <c r="L167" t="b">
        <f>IF(oldbillingStationCustomerNumberOnly="",FALSE,shutoku155)</f>
        <v>0</v>
      </c>
    </row>
    <row r="168" spans="1:12">
      <c r="A168">
        <v>156</v>
      </c>
      <c r="B168" t="s">
        <v>70</v>
      </c>
      <c r="C168" t="str">
        <f>shubetsu156&amp;""</f>
        <v/>
      </c>
      <c r="D168" t="str">
        <f>(IF(削除番明[[#This Row],[請求種別]]="2",(LEFT(billid156,10)),billid156))&amp;""</f>
        <v/>
      </c>
      <c r="E168" t="str">
        <f>UPPER(SUBSTITUTE(削除番明[[#This Row],[ご請求番号]],"-",""))</f>
        <v/>
      </c>
      <c r="F168" s="129" t="str">
        <f>keiyakuid156&amp;""</f>
        <v/>
      </c>
      <c r="G168" s="129"/>
      <c r="H168" s="129"/>
      <c r="I168" s="129"/>
      <c r="J168" s="129"/>
      <c r="K168" s="129" t="str">
        <f>belugabun156&amp;""</f>
        <v/>
      </c>
      <c r="L168" t="b">
        <f>IF(oldbillingStationCustomerNumberOnly="",FALSE,shutoku156)</f>
        <v>0</v>
      </c>
    </row>
    <row r="169" spans="1:12">
      <c r="A169">
        <v>157</v>
      </c>
      <c r="B169" t="s">
        <v>70</v>
      </c>
      <c r="C169" t="str">
        <f>shubetsu157&amp;""</f>
        <v/>
      </c>
      <c r="D169" t="str">
        <f>(IF(削除番明[[#This Row],[請求種別]]="2",(LEFT(billid157,10)),billid157))&amp;""</f>
        <v/>
      </c>
      <c r="E169" t="str">
        <f>UPPER(SUBSTITUTE(削除番明[[#This Row],[ご請求番号]],"-",""))</f>
        <v/>
      </c>
      <c r="F169" s="129" t="str">
        <f>keiyakuid157&amp;""</f>
        <v/>
      </c>
      <c r="G169" s="129"/>
      <c r="H169" s="129"/>
      <c r="I169" s="129"/>
      <c r="J169" s="129"/>
      <c r="K169" s="129" t="str">
        <f>belugabun157&amp;""</f>
        <v/>
      </c>
      <c r="L169" t="b">
        <f>IF(oldbillingStationCustomerNumberOnly="",FALSE,shutoku157)</f>
        <v>0</v>
      </c>
    </row>
    <row r="170" spans="1:12">
      <c r="A170">
        <v>158</v>
      </c>
      <c r="B170" t="s">
        <v>70</v>
      </c>
      <c r="C170" t="str">
        <f>shubetsu158&amp;""</f>
        <v/>
      </c>
      <c r="D170" t="str">
        <f>(IF(削除番明[[#This Row],[請求種別]]="2",(LEFT(billid158,10)),billid158))&amp;""</f>
        <v/>
      </c>
      <c r="E170" t="str">
        <f>UPPER(SUBSTITUTE(削除番明[[#This Row],[ご請求番号]],"-",""))</f>
        <v/>
      </c>
      <c r="F170" s="129" t="str">
        <f>keiyakuid158&amp;""</f>
        <v/>
      </c>
      <c r="G170" s="129"/>
      <c r="H170" s="129"/>
      <c r="I170" s="129"/>
      <c r="J170" s="129"/>
      <c r="K170" s="129" t="str">
        <f>belugabun158&amp;""</f>
        <v/>
      </c>
      <c r="L170" t="b">
        <f>IF(oldbillingStationCustomerNumberOnly="",FALSE,shutoku158)</f>
        <v>0</v>
      </c>
    </row>
    <row r="171" spans="1:12">
      <c r="A171">
        <v>159</v>
      </c>
      <c r="B171" t="s">
        <v>70</v>
      </c>
      <c r="C171" t="str">
        <f>shubetsu159&amp;""</f>
        <v/>
      </c>
      <c r="D171" t="str">
        <f>(IF(削除番明[[#This Row],[請求種別]]="2",(LEFT(billid159,10)),billid159))&amp;""</f>
        <v/>
      </c>
      <c r="E171" t="str">
        <f>UPPER(SUBSTITUTE(削除番明[[#This Row],[ご請求番号]],"-",""))</f>
        <v/>
      </c>
      <c r="F171" s="129" t="str">
        <f>keiyakuid159&amp;""</f>
        <v/>
      </c>
      <c r="G171" s="129"/>
      <c r="H171" s="129"/>
      <c r="I171" s="129"/>
      <c r="J171" s="129"/>
      <c r="K171" s="129" t="str">
        <f>belugabun159&amp;""</f>
        <v/>
      </c>
      <c r="L171" t="b">
        <f>IF(oldbillingStationCustomerNumberOnly="",FALSE,shutoku159)</f>
        <v>0</v>
      </c>
    </row>
    <row r="172" spans="1:12">
      <c r="A172">
        <v>160</v>
      </c>
      <c r="B172" t="s">
        <v>70</v>
      </c>
      <c r="C172" t="str">
        <f>shubetsu160&amp;""</f>
        <v/>
      </c>
      <c r="D172" t="str">
        <f>(IF(削除番明[[#This Row],[請求種別]]="2",(LEFT(billid160,10)),billid160))&amp;""</f>
        <v/>
      </c>
      <c r="E172" t="str">
        <f>UPPER(SUBSTITUTE(削除番明[[#This Row],[ご請求番号]],"-",""))</f>
        <v/>
      </c>
      <c r="F172" s="129" t="str">
        <f>keiyakuid160&amp;""</f>
        <v/>
      </c>
      <c r="G172" s="129"/>
      <c r="H172" s="129"/>
      <c r="I172" s="129"/>
      <c r="J172" s="129"/>
      <c r="K172" s="129" t="str">
        <f>belugabun160&amp;""</f>
        <v/>
      </c>
      <c r="L172" t="b">
        <f>IF(oldbillingStationCustomerNumberOnly="",FALSE,shutoku160)</f>
        <v>0</v>
      </c>
    </row>
    <row r="173" spans="1:12">
      <c r="A173">
        <v>161</v>
      </c>
      <c r="B173" t="s">
        <v>70</v>
      </c>
      <c r="C173" t="str">
        <f>shubetsu161&amp;""</f>
        <v/>
      </c>
      <c r="D173" t="str">
        <f>(IF(削除番明[[#This Row],[請求種別]]="2",(LEFT(billid161,10)),billid161))&amp;""</f>
        <v/>
      </c>
      <c r="E173" t="str">
        <f>UPPER(SUBSTITUTE(削除番明[[#This Row],[ご請求番号]],"-",""))</f>
        <v/>
      </c>
      <c r="F173" s="129" t="str">
        <f>keiyakuid161&amp;""</f>
        <v/>
      </c>
      <c r="G173" s="129"/>
      <c r="H173" s="129"/>
      <c r="I173" s="129"/>
      <c r="J173" s="129"/>
      <c r="K173" s="129" t="str">
        <f>belugabun161&amp;""</f>
        <v/>
      </c>
      <c r="L173" t="b">
        <f>IF(oldbillingStationCustomerNumberOnly="",FALSE,shutoku161)</f>
        <v>0</v>
      </c>
    </row>
    <row r="174" spans="1:12">
      <c r="A174">
        <v>162</v>
      </c>
      <c r="B174" t="s">
        <v>70</v>
      </c>
      <c r="C174" t="str">
        <f>shubetsu162&amp;""</f>
        <v/>
      </c>
      <c r="D174" t="str">
        <f>(IF(削除番明[[#This Row],[請求種別]]="2",(LEFT(billid162,10)),billid162))&amp;""</f>
        <v/>
      </c>
      <c r="E174" t="str">
        <f>UPPER(SUBSTITUTE(削除番明[[#This Row],[ご請求番号]],"-",""))</f>
        <v/>
      </c>
      <c r="F174" s="129" t="str">
        <f>keiyakuid162&amp;""</f>
        <v/>
      </c>
      <c r="G174" s="129"/>
      <c r="H174" s="129"/>
      <c r="I174" s="129"/>
      <c r="J174" s="129"/>
      <c r="K174" s="129" t="str">
        <f>belugabun162&amp;""</f>
        <v/>
      </c>
      <c r="L174" t="b">
        <f>IF(oldbillingStationCustomerNumberOnly="",FALSE,shutoku162)</f>
        <v>0</v>
      </c>
    </row>
    <row r="175" spans="1:12">
      <c r="A175">
        <v>163</v>
      </c>
      <c r="B175" t="s">
        <v>70</v>
      </c>
      <c r="C175" t="str">
        <f>shubetsu163&amp;""</f>
        <v/>
      </c>
      <c r="D175" t="str">
        <f>(IF(削除番明[[#This Row],[請求種別]]="2",(LEFT(billid163,10)),billid163))&amp;""</f>
        <v/>
      </c>
      <c r="E175" t="str">
        <f>UPPER(SUBSTITUTE(削除番明[[#This Row],[ご請求番号]],"-",""))</f>
        <v/>
      </c>
      <c r="F175" s="129" t="str">
        <f>keiyakuid163&amp;""</f>
        <v/>
      </c>
      <c r="G175" s="129"/>
      <c r="H175" s="129"/>
      <c r="I175" s="129"/>
      <c r="J175" s="129"/>
      <c r="K175" s="129" t="str">
        <f>belugabun163&amp;""</f>
        <v/>
      </c>
      <c r="L175" t="b">
        <f>IF(oldbillingStationCustomerNumberOnly="",FALSE,shutoku163)</f>
        <v>0</v>
      </c>
    </row>
    <row r="176" spans="1:12">
      <c r="A176">
        <v>164</v>
      </c>
      <c r="B176" t="s">
        <v>70</v>
      </c>
      <c r="C176" t="str">
        <f>shubetsu164&amp;""</f>
        <v/>
      </c>
      <c r="D176" t="str">
        <f>(IF(削除番明[[#This Row],[請求種別]]="2",(LEFT(billid164,10)),billid164))&amp;""</f>
        <v/>
      </c>
      <c r="E176" t="str">
        <f>UPPER(SUBSTITUTE(削除番明[[#This Row],[ご請求番号]],"-",""))</f>
        <v/>
      </c>
      <c r="F176" s="129" t="str">
        <f>keiyakuid164&amp;""</f>
        <v/>
      </c>
      <c r="G176" s="129"/>
      <c r="H176" s="129"/>
      <c r="I176" s="129"/>
      <c r="J176" s="129"/>
      <c r="K176" s="129" t="str">
        <f>belugabun164&amp;""</f>
        <v/>
      </c>
      <c r="L176" t="b">
        <f>IF(oldbillingStationCustomerNumberOnly="",FALSE,shutoku164)</f>
        <v>0</v>
      </c>
    </row>
    <row r="177" spans="1:12">
      <c r="A177">
        <v>165</v>
      </c>
      <c r="B177" t="s">
        <v>70</v>
      </c>
      <c r="C177" t="str">
        <f>shubetsu165&amp;""</f>
        <v/>
      </c>
      <c r="D177" t="str">
        <f>(IF(削除番明[[#This Row],[請求種別]]="2",(LEFT(billid165,10)),billid165))&amp;""</f>
        <v/>
      </c>
      <c r="E177" t="str">
        <f>UPPER(SUBSTITUTE(削除番明[[#This Row],[ご請求番号]],"-",""))</f>
        <v/>
      </c>
      <c r="F177" s="129" t="str">
        <f>keiyakuid165&amp;""</f>
        <v/>
      </c>
      <c r="G177" s="129"/>
      <c r="H177" s="129"/>
      <c r="I177" s="129"/>
      <c r="J177" s="129"/>
      <c r="K177" s="129" t="str">
        <f>belugabun165&amp;""</f>
        <v/>
      </c>
      <c r="L177" t="b">
        <f>IF(oldbillingStationCustomerNumberOnly="",FALSE,shutoku165)</f>
        <v>0</v>
      </c>
    </row>
    <row r="178" spans="1:12">
      <c r="A178">
        <v>166</v>
      </c>
      <c r="B178" t="s">
        <v>70</v>
      </c>
      <c r="C178" t="str">
        <f>shubetsu166&amp;""</f>
        <v/>
      </c>
      <c r="D178" t="str">
        <f>(IF(削除番明[[#This Row],[請求種別]]="2",(LEFT(billid166,10)),billid166))&amp;""</f>
        <v/>
      </c>
      <c r="E178" t="str">
        <f>UPPER(SUBSTITUTE(削除番明[[#This Row],[ご請求番号]],"-",""))</f>
        <v/>
      </c>
      <c r="F178" s="129" t="str">
        <f>keiyakuid166&amp;""</f>
        <v/>
      </c>
      <c r="G178" s="129"/>
      <c r="H178" s="129"/>
      <c r="I178" s="129"/>
      <c r="J178" s="129"/>
      <c r="K178" s="129" t="str">
        <f>belugabun166&amp;""</f>
        <v/>
      </c>
      <c r="L178" t="b">
        <f>IF(oldbillingStationCustomerNumberOnly="",FALSE,shutoku166)</f>
        <v>0</v>
      </c>
    </row>
    <row r="179" spans="1:12">
      <c r="A179">
        <v>167</v>
      </c>
      <c r="B179" t="s">
        <v>70</v>
      </c>
      <c r="C179" t="str">
        <f>shubetsu167&amp;""</f>
        <v/>
      </c>
      <c r="D179" t="str">
        <f>(IF(削除番明[[#This Row],[請求種別]]="2",(LEFT(billid167,10)),billid167))&amp;""</f>
        <v/>
      </c>
      <c r="E179" t="str">
        <f>UPPER(SUBSTITUTE(削除番明[[#This Row],[ご請求番号]],"-",""))</f>
        <v/>
      </c>
      <c r="F179" s="129" t="str">
        <f>keiyakuid167&amp;""</f>
        <v/>
      </c>
      <c r="G179" s="129"/>
      <c r="H179" s="129"/>
      <c r="I179" s="129"/>
      <c r="J179" s="129"/>
      <c r="K179" s="129" t="str">
        <f>belugabun167&amp;""</f>
        <v/>
      </c>
      <c r="L179" t="b">
        <f>IF(oldbillingStationCustomerNumberOnly="",FALSE,shutoku167)</f>
        <v>0</v>
      </c>
    </row>
    <row r="180" spans="1:12">
      <c r="A180">
        <v>168</v>
      </c>
      <c r="B180" t="s">
        <v>70</v>
      </c>
      <c r="C180" t="str">
        <f>shubetsu168&amp;""</f>
        <v/>
      </c>
      <c r="D180" t="str">
        <f>(IF(削除番明[[#This Row],[請求種別]]="2",(LEFT(billid168,10)),billid168))&amp;""</f>
        <v/>
      </c>
      <c r="E180" t="str">
        <f>UPPER(SUBSTITUTE(削除番明[[#This Row],[ご請求番号]],"-",""))</f>
        <v/>
      </c>
      <c r="F180" s="129" t="str">
        <f>keiyakuid168&amp;""</f>
        <v/>
      </c>
      <c r="G180" s="129"/>
      <c r="H180" s="129"/>
      <c r="I180" s="129"/>
      <c r="J180" s="129"/>
      <c r="K180" s="129" t="str">
        <f>belugabun168&amp;""</f>
        <v/>
      </c>
      <c r="L180" t="b">
        <f>IF(oldbillingStationCustomerNumberOnly="",FALSE,shutoku168)</f>
        <v>0</v>
      </c>
    </row>
    <row r="181" spans="1:12">
      <c r="A181">
        <v>169</v>
      </c>
      <c r="B181" t="s">
        <v>70</v>
      </c>
      <c r="C181" t="str">
        <f>shubetsu169&amp;""</f>
        <v/>
      </c>
      <c r="D181" t="str">
        <f>(IF(削除番明[[#This Row],[請求種別]]="2",(LEFT(billid169,10)),billid169))&amp;""</f>
        <v/>
      </c>
      <c r="E181" t="str">
        <f>UPPER(SUBSTITUTE(削除番明[[#This Row],[ご請求番号]],"-",""))</f>
        <v/>
      </c>
      <c r="F181" s="129" t="str">
        <f>keiyakuid169&amp;""</f>
        <v/>
      </c>
      <c r="G181" s="129"/>
      <c r="H181" s="129"/>
      <c r="I181" s="129"/>
      <c r="J181" s="129"/>
      <c r="K181" s="129" t="str">
        <f>belugabun169&amp;""</f>
        <v/>
      </c>
      <c r="L181" t="b">
        <f>IF(oldbillingStationCustomerNumberOnly="",FALSE,shutoku169)</f>
        <v>0</v>
      </c>
    </row>
    <row r="182" spans="1:12">
      <c r="A182">
        <v>170</v>
      </c>
      <c r="B182" t="s">
        <v>70</v>
      </c>
      <c r="C182" t="str">
        <f>shubetsu170&amp;""</f>
        <v/>
      </c>
      <c r="D182" t="str">
        <f>(IF(削除番明[[#This Row],[請求種別]]="2",(LEFT(billid170,10)),billid170))&amp;""</f>
        <v/>
      </c>
      <c r="E182" t="str">
        <f>UPPER(SUBSTITUTE(削除番明[[#This Row],[ご請求番号]],"-",""))</f>
        <v/>
      </c>
      <c r="F182" s="129" t="str">
        <f>keiyakuid170&amp;""</f>
        <v/>
      </c>
      <c r="G182" s="129"/>
      <c r="H182" s="129"/>
      <c r="I182" s="129"/>
      <c r="J182" s="129"/>
      <c r="K182" s="129" t="str">
        <f>belugabun170&amp;""</f>
        <v/>
      </c>
      <c r="L182" t="b">
        <f>IF(oldbillingStationCustomerNumberOnly="",FALSE,shutoku170)</f>
        <v>0</v>
      </c>
    </row>
    <row r="183" spans="1:12">
      <c r="A183">
        <v>171</v>
      </c>
      <c r="B183" t="s">
        <v>70</v>
      </c>
      <c r="C183" t="str">
        <f>shubetsu171&amp;""</f>
        <v/>
      </c>
      <c r="D183" t="str">
        <f>(IF(削除番明[[#This Row],[請求種別]]="2",(LEFT(billid171,10)),billid171))&amp;""</f>
        <v/>
      </c>
      <c r="E183" t="str">
        <f>UPPER(SUBSTITUTE(削除番明[[#This Row],[ご請求番号]],"-",""))</f>
        <v/>
      </c>
      <c r="F183" s="129" t="str">
        <f>keiyakuid171&amp;""</f>
        <v/>
      </c>
      <c r="G183" s="129"/>
      <c r="H183" s="129"/>
      <c r="I183" s="129"/>
      <c r="J183" s="129"/>
      <c r="K183" s="129" t="str">
        <f>belugabun171&amp;""</f>
        <v/>
      </c>
      <c r="L183" t="b">
        <f>IF(oldbillingStationCustomerNumberOnly="",FALSE,shutoku171)</f>
        <v>0</v>
      </c>
    </row>
    <row r="184" spans="1:12">
      <c r="A184">
        <v>172</v>
      </c>
      <c r="B184" t="s">
        <v>70</v>
      </c>
      <c r="C184" t="str">
        <f>shubetsu172&amp;""</f>
        <v/>
      </c>
      <c r="D184" t="str">
        <f>(IF(削除番明[[#This Row],[請求種別]]="2",(LEFT(billid172,10)),billid172))&amp;""</f>
        <v/>
      </c>
      <c r="E184" t="str">
        <f>UPPER(SUBSTITUTE(削除番明[[#This Row],[ご請求番号]],"-",""))</f>
        <v/>
      </c>
      <c r="F184" s="129" t="str">
        <f>keiyakuid172&amp;""</f>
        <v/>
      </c>
      <c r="G184" s="129"/>
      <c r="H184" s="129"/>
      <c r="I184" s="129"/>
      <c r="J184" s="129"/>
      <c r="K184" s="129" t="str">
        <f>belugabun172&amp;""</f>
        <v/>
      </c>
      <c r="L184" t="b">
        <f>IF(oldbillingStationCustomerNumberOnly="",FALSE,shutoku172)</f>
        <v>0</v>
      </c>
    </row>
    <row r="185" spans="1:12">
      <c r="A185">
        <v>173</v>
      </c>
      <c r="B185" t="s">
        <v>70</v>
      </c>
      <c r="C185" t="str">
        <f>shubetsu173&amp;""</f>
        <v/>
      </c>
      <c r="D185" t="str">
        <f>(IF(削除番明[[#This Row],[請求種別]]="2",(LEFT(billid173,10)),billid173))&amp;""</f>
        <v/>
      </c>
      <c r="E185" t="str">
        <f>UPPER(SUBSTITUTE(削除番明[[#This Row],[ご請求番号]],"-",""))</f>
        <v/>
      </c>
      <c r="F185" s="129" t="str">
        <f>keiyakuid173&amp;""</f>
        <v/>
      </c>
      <c r="G185" s="129"/>
      <c r="H185" s="129"/>
      <c r="I185" s="129"/>
      <c r="J185" s="129"/>
      <c r="K185" s="129" t="str">
        <f>belugabun173&amp;""</f>
        <v/>
      </c>
      <c r="L185" t="b">
        <f>IF(oldbillingStationCustomerNumberOnly="",FALSE,shutoku173)</f>
        <v>0</v>
      </c>
    </row>
    <row r="186" spans="1:12">
      <c r="A186">
        <v>174</v>
      </c>
      <c r="B186" t="s">
        <v>70</v>
      </c>
      <c r="C186" t="str">
        <f>shubetsu174&amp;""</f>
        <v/>
      </c>
      <c r="D186" t="str">
        <f>(IF(削除番明[[#This Row],[請求種別]]="2",(LEFT(billid174,10)),billid174))&amp;""</f>
        <v/>
      </c>
      <c r="E186" t="str">
        <f>UPPER(SUBSTITUTE(削除番明[[#This Row],[ご請求番号]],"-",""))</f>
        <v/>
      </c>
      <c r="F186" s="129" t="str">
        <f>keiyakuid174&amp;""</f>
        <v/>
      </c>
      <c r="G186" s="129"/>
      <c r="H186" s="129"/>
      <c r="I186" s="129"/>
      <c r="J186" s="129"/>
      <c r="K186" s="129" t="str">
        <f>belugabun174&amp;""</f>
        <v/>
      </c>
      <c r="L186" t="b">
        <f>IF(oldbillingStationCustomerNumberOnly="",FALSE,shutoku174)</f>
        <v>0</v>
      </c>
    </row>
    <row r="187" spans="1:12">
      <c r="A187">
        <v>175</v>
      </c>
      <c r="B187" t="s">
        <v>70</v>
      </c>
      <c r="C187" t="str">
        <f>shubetsu175&amp;""</f>
        <v/>
      </c>
      <c r="D187" t="str">
        <f>(IF(削除番明[[#This Row],[請求種別]]="2",(LEFT(billid175,10)),billid175))&amp;""</f>
        <v/>
      </c>
      <c r="E187" t="str">
        <f>UPPER(SUBSTITUTE(削除番明[[#This Row],[ご請求番号]],"-",""))</f>
        <v/>
      </c>
      <c r="F187" s="129" t="str">
        <f>keiyakuid175&amp;""</f>
        <v/>
      </c>
      <c r="G187" s="129"/>
      <c r="H187" s="129"/>
      <c r="I187" s="129"/>
      <c r="J187" s="129"/>
      <c r="K187" s="129" t="str">
        <f>belugabun175&amp;""</f>
        <v/>
      </c>
      <c r="L187" t="b">
        <f>IF(oldbillingStationCustomerNumberOnly="",FALSE,shutoku175)</f>
        <v>0</v>
      </c>
    </row>
    <row r="188" spans="1:12">
      <c r="A188">
        <v>176</v>
      </c>
      <c r="B188" t="s">
        <v>70</v>
      </c>
      <c r="C188" t="str">
        <f>shubetsu176&amp;""</f>
        <v/>
      </c>
      <c r="D188" t="str">
        <f>(IF(削除番明[[#This Row],[請求種別]]="2",(LEFT(billid176,10)),billid176))&amp;""</f>
        <v/>
      </c>
      <c r="E188" t="str">
        <f>UPPER(SUBSTITUTE(削除番明[[#This Row],[ご請求番号]],"-",""))</f>
        <v/>
      </c>
      <c r="F188" s="129" t="str">
        <f>keiyakuid176&amp;""</f>
        <v/>
      </c>
      <c r="G188" s="129"/>
      <c r="H188" s="129"/>
      <c r="I188" s="129"/>
      <c r="J188" s="129"/>
      <c r="K188" s="129" t="str">
        <f>belugabun176&amp;""</f>
        <v/>
      </c>
      <c r="L188" t="b">
        <f>IF(oldbillingStationCustomerNumberOnly="",FALSE,shutoku176)</f>
        <v>0</v>
      </c>
    </row>
    <row r="189" spans="1:12">
      <c r="A189">
        <v>177</v>
      </c>
      <c r="B189" t="s">
        <v>70</v>
      </c>
      <c r="C189" t="str">
        <f>shubetsu177&amp;""</f>
        <v/>
      </c>
      <c r="D189" t="str">
        <f>(IF(削除番明[[#This Row],[請求種別]]="2",(LEFT(billid177,10)),billid177))&amp;""</f>
        <v/>
      </c>
      <c r="E189" t="str">
        <f>UPPER(SUBSTITUTE(削除番明[[#This Row],[ご請求番号]],"-",""))</f>
        <v/>
      </c>
      <c r="F189" s="129" t="str">
        <f>keiyakuid177&amp;""</f>
        <v/>
      </c>
      <c r="G189" s="129"/>
      <c r="H189" s="129"/>
      <c r="I189" s="129"/>
      <c r="J189" s="129"/>
      <c r="K189" s="129" t="str">
        <f>belugabun177&amp;""</f>
        <v/>
      </c>
      <c r="L189" t="b">
        <f>IF(oldbillingStationCustomerNumberOnly="",FALSE,shutoku177)</f>
        <v>0</v>
      </c>
    </row>
    <row r="190" spans="1:12">
      <c r="A190">
        <v>178</v>
      </c>
      <c r="B190" t="s">
        <v>70</v>
      </c>
      <c r="C190" t="str">
        <f>shubetsu178&amp;""</f>
        <v/>
      </c>
      <c r="D190" t="str">
        <f>(IF(削除番明[[#This Row],[請求種別]]="2",(LEFT(billid178,10)),billid178))&amp;""</f>
        <v/>
      </c>
      <c r="E190" t="str">
        <f>UPPER(SUBSTITUTE(削除番明[[#This Row],[ご請求番号]],"-",""))</f>
        <v/>
      </c>
      <c r="F190" s="129" t="str">
        <f>keiyakuid178&amp;""</f>
        <v/>
      </c>
      <c r="G190" s="129"/>
      <c r="H190" s="129"/>
      <c r="I190" s="129"/>
      <c r="J190" s="129"/>
      <c r="K190" s="129" t="str">
        <f>belugabun178&amp;""</f>
        <v/>
      </c>
      <c r="L190" t="b">
        <f>IF(oldbillingStationCustomerNumberOnly="",FALSE,shutoku178)</f>
        <v>0</v>
      </c>
    </row>
    <row r="191" spans="1:12">
      <c r="A191">
        <v>179</v>
      </c>
      <c r="B191" t="s">
        <v>70</v>
      </c>
      <c r="C191" t="str">
        <f>shubetsu179&amp;""</f>
        <v/>
      </c>
      <c r="D191" t="str">
        <f>(IF(削除番明[[#This Row],[請求種別]]="2",(LEFT(billid179,10)),billid179))&amp;""</f>
        <v/>
      </c>
      <c r="E191" t="str">
        <f>UPPER(SUBSTITUTE(削除番明[[#This Row],[ご請求番号]],"-",""))</f>
        <v/>
      </c>
      <c r="F191" s="129" t="str">
        <f>keiyakuid179&amp;""</f>
        <v/>
      </c>
      <c r="G191" s="129"/>
      <c r="H191" s="129"/>
      <c r="I191" s="129"/>
      <c r="J191" s="129"/>
      <c r="K191" s="129" t="str">
        <f>belugabun179&amp;""</f>
        <v/>
      </c>
      <c r="L191" t="b">
        <f>IF(oldbillingStationCustomerNumberOnly="",FALSE,shutoku179)</f>
        <v>0</v>
      </c>
    </row>
    <row r="192" spans="1:12">
      <c r="A192">
        <v>180</v>
      </c>
      <c r="B192" t="s">
        <v>70</v>
      </c>
      <c r="C192" t="str">
        <f>shubetsu180&amp;""</f>
        <v/>
      </c>
      <c r="D192" t="str">
        <f>(IF(削除番明[[#This Row],[請求種別]]="2",(LEFT(billid180,10)),billid180))&amp;""</f>
        <v/>
      </c>
      <c r="E192" t="str">
        <f>UPPER(SUBSTITUTE(削除番明[[#This Row],[ご請求番号]],"-",""))</f>
        <v/>
      </c>
      <c r="F192" s="129" t="str">
        <f>keiyakuid180&amp;""</f>
        <v/>
      </c>
      <c r="G192" s="129"/>
      <c r="H192" s="129"/>
      <c r="I192" s="129"/>
      <c r="J192" s="129"/>
      <c r="K192" s="129" t="str">
        <f>belugabun180&amp;""</f>
        <v/>
      </c>
      <c r="L192" t="b">
        <f>IF(oldbillingStationCustomerNumberOnly="",FALSE,shutoku180)</f>
        <v>0</v>
      </c>
    </row>
    <row r="193" spans="1:12">
      <c r="A193">
        <v>181</v>
      </c>
      <c r="B193" t="s">
        <v>70</v>
      </c>
      <c r="C193" t="str">
        <f>shubetsu181&amp;""</f>
        <v/>
      </c>
      <c r="D193" t="str">
        <f>(IF(削除番明[[#This Row],[請求種別]]="2",(LEFT(billid181,10)),billid181))&amp;""</f>
        <v/>
      </c>
      <c r="E193" t="str">
        <f>UPPER(SUBSTITUTE(削除番明[[#This Row],[ご請求番号]],"-",""))</f>
        <v/>
      </c>
      <c r="F193" s="129" t="str">
        <f>keiyakuid181&amp;""</f>
        <v/>
      </c>
      <c r="G193" s="129"/>
      <c r="H193" s="129"/>
      <c r="I193" s="129"/>
      <c r="J193" s="129"/>
      <c r="K193" s="129" t="str">
        <f>belugabun181&amp;""</f>
        <v/>
      </c>
      <c r="L193" t="b">
        <f>IF(oldbillingStationCustomerNumberOnly="",FALSE,shutoku181)</f>
        <v>0</v>
      </c>
    </row>
    <row r="194" spans="1:12">
      <c r="A194">
        <v>182</v>
      </c>
      <c r="B194" t="s">
        <v>70</v>
      </c>
      <c r="C194" t="str">
        <f>shubetsu182&amp;""</f>
        <v/>
      </c>
      <c r="D194" t="str">
        <f>(IF(削除番明[[#This Row],[請求種別]]="2",(LEFT(billid182,10)),billid182))&amp;""</f>
        <v/>
      </c>
      <c r="E194" t="str">
        <f>UPPER(SUBSTITUTE(削除番明[[#This Row],[ご請求番号]],"-",""))</f>
        <v/>
      </c>
      <c r="F194" s="129" t="str">
        <f>keiyakuid182&amp;""</f>
        <v/>
      </c>
      <c r="G194" s="129"/>
      <c r="H194" s="129"/>
      <c r="I194" s="129"/>
      <c r="J194" s="129"/>
      <c r="K194" s="129" t="str">
        <f>belugabun182&amp;""</f>
        <v/>
      </c>
      <c r="L194" t="b">
        <f>IF(oldbillingStationCustomerNumberOnly="",FALSE,shutoku182)</f>
        <v>0</v>
      </c>
    </row>
    <row r="195" spans="1:12">
      <c r="A195">
        <v>183</v>
      </c>
      <c r="B195" t="s">
        <v>70</v>
      </c>
      <c r="C195" t="str">
        <f>shubetsu183&amp;""</f>
        <v/>
      </c>
      <c r="D195" t="str">
        <f>(IF(削除番明[[#This Row],[請求種別]]="2",(LEFT(billid183,10)),billid183))&amp;""</f>
        <v/>
      </c>
      <c r="E195" t="str">
        <f>UPPER(SUBSTITUTE(削除番明[[#This Row],[ご請求番号]],"-",""))</f>
        <v/>
      </c>
      <c r="F195" s="129" t="str">
        <f>keiyakuid183&amp;""</f>
        <v/>
      </c>
      <c r="G195" s="129"/>
      <c r="H195" s="129"/>
      <c r="I195" s="129"/>
      <c r="J195" s="129"/>
      <c r="K195" s="129" t="str">
        <f>belugabun183&amp;""</f>
        <v/>
      </c>
      <c r="L195" t="b">
        <f>IF(oldbillingStationCustomerNumberOnly="",FALSE,shutoku183)</f>
        <v>0</v>
      </c>
    </row>
    <row r="196" spans="1:12">
      <c r="A196">
        <v>184</v>
      </c>
      <c r="B196" t="s">
        <v>70</v>
      </c>
      <c r="C196" t="str">
        <f>shubetsu184&amp;""</f>
        <v/>
      </c>
      <c r="D196" t="str">
        <f>(IF(削除番明[[#This Row],[請求種別]]="2",(LEFT(billid184,10)),billid184))&amp;""</f>
        <v/>
      </c>
      <c r="E196" t="str">
        <f>UPPER(SUBSTITUTE(削除番明[[#This Row],[ご請求番号]],"-",""))</f>
        <v/>
      </c>
      <c r="F196" s="129" t="str">
        <f>keiyakuid184&amp;""</f>
        <v/>
      </c>
      <c r="G196" s="129"/>
      <c r="H196" s="129"/>
      <c r="I196" s="129"/>
      <c r="J196" s="129"/>
      <c r="K196" s="129" t="str">
        <f>belugabun184&amp;""</f>
        <v/>
      </c>
      <c r="L196" t="b">
        <f>IF(oldbillingStationCustomerNumberOnly="",FALSE,shutoku184)</f>
        <v>0</v>
      </c>
    </row>
    <row r="197" spans="1:12">
      <c r="A197">
        <v>185</v>
      </c>
      <c r="B197" t="s">
        <v>70</v>
      </c>
      <c r="C197" t="str">
        <f>shubetsu185&amp;""</f>
        <v/>
      </c>
      <c r="D197" t="str">
        <f>(IF(削除番明[[#This Row],[請求種別]]="2",(LEFT(billid185,10)),billid185))&amp;""</f>
        <v/>
      </c>
      <c r="E197" t="str">
        <f>UPPER(SUBSTITUTE(削除番明[[#This Row],[ご請求番号]],"-",""))</f>
        <v/>
      </c>
      <c r="F197" s="129" t="str">
        <f>keiyakuid185&amp;""</f>
        <v/>
      </c>
      <c r="G197" s="129"/>
      <c r="H197" s="129"/>
      <c r="I197" s="129"/>
      <c r="J197" s="129"/>
      <c r="K197" s="129" t="str">
        <f>belugabun185&amp;""</f>
        <v/>
      </c>
      <c r="L197" t="b">
        <f>IF(oldbillingStationCustomerNumberOnly="",FALSE,shutoku185)</f>
        <v>0</v>
      </c>
    </row>
    <row r="198" spans="1:12">
      <c r="A198">
        <v>186</v>
      </c>
      <c r="B198" t="s">
        <v>70</v>
      </c>
      <c r="C198" t="str">
        <f>shubetsu186&amp;""</f>
        <v/>
      </c>
      <c r="D198" t="str">
        <f>(IF(削除番明[[#This Row],[請求種別]]="2",(LEFT(billid186,10)),billid186))&amp;""</f>
        <v/>
      </c>
      <c r="E198" t="str">
        <f>UPPER(SUBSTITUTE(削除番明[[#This Row],[ご請求番号]],"-",""))</f>
        <v/>
      </c>
      <c r="F198" s="129" t="str">
        <f>keiyakuid186&amp;""</f>
        <v/>
      </c>
      <c r="G198" s="129"/>
      <c r="H198" s="129"/>
      <c r="I198" s="129"/>
      <c r="J198" s="129"/>
      <c r="K198" s="129" t="str">
        <f>belugabun186&amp;""</f>
        <v/>
      </c>
      <c r="L198" t="b">
        <f>IF(oldbillingStationCustomerNumberOnly="",FALSE,shutoku186)</f>
        <v>0</v>
      </c>
    </row>
    <row r="199" spans="1:12">
      <c r="A199">
        <v>187</v>
      </c>
      <c r="B199" t="s">
        <v>70</v>
      </c>
      <c r="C199" t="str">
        <f>shubetsu187&amp;""</f>
        <v/>
      </c>
      <c r="D199" t="str">
        <f>(IF(削除番明[[#This Row],[請求種別]]="2",(LEFT(billid187,10)),billid187))&amp;""</f>
        <v/>
      </c>
      <c r="E199" t="str">
        <f>UPPER(SUBSTITUTE(削除番明[[#This Row],[ご請求番号]],"-",""))</f>
        <v/>
      </c>
      <c r="F199" s="129" t="str">
        <f>keiyakuid187&amp;""</f>
        <v/>
      </c>
      <c r="G199" s="129"/>
      <c r="H199" s="129"/>
      <c r="I199" s="129"/>
      <c r="J199" s="129"/>
      <c r="K199" s="129" t="str">
        <f>belugabun187&amp;""</f>
        <v/>
      </c>
      <c r="L199" t="b">
        <f>IF(oldbillingStationCustomerNumberOnly="",FALSE,shutoku187)</f>
        <v>0</v>
      </c>
    </row>
    <row r="200" spans="1:12">
      <c r="A200">
        <v>188</v>
      </c>
      <c r="B200" t="s">
        <v>70</v>
      </c>
      <c r="C200" t="str">
        <f>shubetsu188&amp;""</f>
        <v/>
      </c>
      <c r="D200" t="str">
        <f>(IF(削除番明[[#This Row],[請求種別]]="2",(LEFT(billid188,10)),billid188))&amp;""</f>
        <v/>
      </c>
      <c r="E200" t="str">
        <f>UPPER(SUBSTITUTE(削除番明[[#This Row],[ご請求番号]],"-",""))</f>
        <v/>
      </c>
      <c r="F200" s="129" t="str">
        <f>keiyakuid188&amp;""</f>
        <v/>
      </c>
      <c r="G200" s="129"/>
      <c r="H200" s="129"/>
      <c r="I200" s="129"/>
      <c r="J200" s="129"/>
      <c r="K200" s="129" t="str">
        <f>belugabun188&amp;""</f>
        <v/>
      </c>
      <c r="L200" t="b">
        <f>IF(oldbillingStationCustomerNumberOnly="",FALSE,shutoku188)</f>
        <v>0</v>
      </c>
    </row>
    <row r="201" spans="1:12">
      <c r="A201">
        <v>189</v>
      </c>
      <c r="B201" t="s">
        <v>70</v>
      </c>
      <c r="C201" t="str">
        <f>shubetsu189&amp;""</f>
        <v/>
      </c>
      <c r="D201" t="str">
        <f>(IF(削除番明[[#This Row],[請求種別]]="2",(LEFT(billid189,10)),billid189))&amp;""</f>
        <v/>
      </c>
      <c r="E201" t="str">
        <f>UPPER(SUBSTITUTE(削除番明[[#This Row],[ご請求番号]],"-",""))</f>
        <v/>
      </c>
      <c r="F201" s="129" t="str">
        <f>keiyakuid189&amp;""</f>
        <v/>
      </c>
      <c r="G201" s="129"/>
      <c r="H201" s="129"/>
      <c r="I201" s="129"/>
      <c r="J201" s="129"/>
      <c r="K201" s="129" t="str">
        <f>belugabun189&amp;""</f>
        <v/>
      </c>
      <c r="L201" t="b">
        <f>IF(oldbillingStationCustomerNumberOnly="",FALSE,shutoku189)</f>
        <v>0</v>
      </c>
    </row>
    <row r="202" spans="1:12">
      <c r="A202">
        <v>190</v>
      </c>
      <c r="B202" t="s">
        <v>70</v>
      </c>
      <c r="C202" t="str">
        <f>shubetsu190&amp;""</f>
        <v/>
      </c>
      <c r="D202" t="str">
        <f>(IF(削除番明[[#This Row],[請求種別]]="2",(LEFT(billid190,10)),billid190))&amp;""</f>
        <v/>
      </c>
      <c r="E202" t="str">
        <f>UPPER(SUBSTITUTE(削除番明[[#This Row],[ご請求番号]],"-",""))</f>
        <v/>
      </c>
      <c r="F202" s="129" t="str">
        <f>keiyakuid190&amp;""</f>
        <v/>
      </c>
      <c r="G202" s="129"/>
      <c r="H202" s="129"/>
      <c r="I202" s="129"/>
      <c r="J202" s="129"/>
      <c r="K202" s="129" t="str">
        <f>belugabun190&amp;""</f>
        <v/>
      </c>
      <c r="L202" t="b">
        <f>IF(oldbillingStationCustomerNumberOnly="",FALSE,shutoku190)</f>
        <v>0</v>
      </c>
    </row>
    <row r="203" spans="1:12">
      <c r="A203">
        <v>191</v>
      </c>
      <c r="B203" t="s">
        <v>70</v>
      </c>
      <c r="C203" t="str">
        <f>shubetsu191&amp;""</f>
        <v/>
      </c>
      <c r="D203" t="str">
        <f>(IF(削除番明[[#This Row],[請求種別]]="2",(LEFT(billid191,10)),billid191))&amp;""</f>
        <v/>
      </c>
      <c r="E203" t="str">
        <f>UPPER(SUBSTITUTE(削除番明[[#This Row],[ご請求番号]],"-",""))</f>
        <v/>
      </c>
      <c r="F203" s="129" t="str">
        <f>keiyakuid191&amp;""</f>
        <v/>
      </c>
      <c r="G203" s="129"/>
      <c r="H203" s="129"/>
      <c r="I203" s="129"/>
      <c r="J203" s="129"/>
      <c r="K203" s="129" t="str">
        <f>belugabun191&amp;""</f>
        <v/>
      </c>
      <c r="L203" t="b">
        <f>IF(oldbillingStationCustomerNumberOnly="",FALSE,shutoku191)</f>
        <v>0</v>
      </c>
    </row>
    <row r="204" spans="1:12">
      <c r="A204">
        <v>192</v>
      </c>
      <c r="B204" t="s">
        <v>70</v>
      </c>
      <c r="C204" t="str">
        <f>shubetsu192&amp;""</f>
        <v/>
      </c>
      <c r="D204" t="str">
        <f>(IF(削除番明[[#This Row],[請求種別]]="2",(LEFT(billid192,10)),billid192))&amp;""</f>
        <v/>
      </c>
      <c r="E204" t="str">
        <f>UPPER(SUBSTITUTE(削除番明[[#This Row],[ご請求番号]],"-",""))</f>
        <v/>
      </c>
      <c r="F204" s="129" t="str">
        <f>keiyakuid192&amp;""</f>
        <v/>
      </c>
      <c r="G204" s="129"/>
      <c r="H204" s="129"/>
      <c r="I204" s="129"/>
      <c r="J204" s="129"/>
      <c r="K204" s="129" t="str">
        <f>belugabun192&amp;""</f>
        <v/>
      </c>
      <c r="L204" t="b">
        <f>IF(oldbillingStationCustomerNumberOnly="",FALSE,shutoku192)</f>
        <v>0</v>
      </c>
    </row>
    <row r="205" spans="1:12">
      <c r="A205">
        <v>193</v>
      </c>
      <c r="B205" t="s">
        <v>70</v>
      </c>
      <c r="C205" t="str">
        <f>shubetsu193&amp;""</f>
        <v/>
      </c>
      <c r="D205" t="str">
        <f>(IF(削除番明[[#This Row],[請求種別]]="2",(LEFT(billid193,10)),billid193))&amp;""</f>
        <v/>
      </c>
      <c r="E205" t="str">
        <f>UPPER(SUBSTITUTE(削除番明[[#This Row],[ご請求番号]],"-",""))</f>
        <v/>
      </c>
      <c r="F205" s="129" t="str">
        <f>keiyakuid193&amp;""</f>
        <v/>
      </c>
      <c r="G205" s="129"/>
      <c r="H205" s="129"/>
      <c r="I205" s="129"/>
      <c r="J205" s="129"/>
      <c r="K205" s="129" t="str">
        <f>belugabun193&amp;""</f>
        <v/>
      </c>
      <c r="L205" t="b">
        <f>IF(oldbillingStationCustomerNumberOnly="",FALSE,shutoku193)</f>
        <v>0</v>
      </c>
    </row>
    <row r="206" spans="1:12">
      <c r="A206">
        <v>194</v>
      </c>
      <c r="B206" t="s">
        <v>70</v>
      </c>
      <c r="C206" t="str">
        <f>shubetsu194&amp;""</f>
        <v/>
      </c>
      <c r="D206" t="str">
        <f>(IF(削除番明[[#This Row],[請求種別]]="2",(LEFT(billid194,10)),billid194))&amp;""</f>
        <v/>
      </c>
      <c r="E206" t="str">
        <f>UPPER(SUBSTITUTE(削除番明[[#This Row],[ご請求番号]],"-",""))</f>
        <v/>
      </c>
      <c r="F206" s="129" t="str">
        <f>keiyakuid194&amp;""</f>
        <v/>
      </c>
      <c r="G206" s="129"/>
      <c r="H206" s="129"/>
      <c r="I206" s="129"/>
      <c r="J206" s="129"/>
      <c r="K206" s="129" t="str">
        <f>belugabun194&amp;""</f>
        <v/>
      </c>
      <c r="L206" t="b">
        <f>IF(oldbillingStationCustomerNumberOnly="",FALSE,shutoku194)</f>
        <v>0</v>
      </c>
    </row>
    <row r="207" spans="1:12">
      <c r="A207">
        <v>195</v>
      </c>
      <c r="B207" t="s">
        <v>70</v>
      </c>
      <c r="C207" t="str">
        <f>shubetsu195&amp;""</f>
        <v/>
      </c>
      <c r="D207" t="str">
        <f>(IF(削除番明[[#This Row],[請求種別]]="2",(LEFT(billid195,10)),billid195))&amp;""</f>
        <v/>
      </c>
      <c r="E207" t="str">
        <f>UPPER(SUBSTITUTE(削除番明[[#This Row],[ご請求番号]],"-",""))</f>
        <v/>
      </c>
      <c r="F207" s="129" t="str">
        <f>keiyakuid195&amp;""</f>
        <v/>
      </c>
      <c r="G207" s="129"/>
      <c r="H207" s="129"/>
      <c r="I207" s="129"/>
      <c r="J207" s="129"/>
      <c r="K207" s="129" t="str">
        <f>belugabun195&amp;""</f>
        <v/>
      </c>
      <c r="L207" t="b">
        <f>IF(oldbillingStationCustomerNumberOnly="",FALSE,shutoku195)</f>
        <v>0</v>
      </c>
    </row>
    <row r="208" spans="1:12">
      <c r="A208">
        <v>196</v>
      </c>
      <c r="B208" t="s">
        <v>70</v>
      </c>
      <c r="C208" t="str">
        <f>shubetsu196&amp;""</f>
        <v/>
      </c>
      <c r="D208" t="str">
        <f>(IF(削除番明[[#This Row],[請求種別]]="2",(LEFT(billid196,10)),billid196))&amp;""</f>
        <v/>
      </c>
      <c r="E208" t="str">
        <f>UPPER(SUBSTITUTE(削除番明[[#This Row],[ご請求番号]],"-",""))</f>
        <v/>
      </c>
      <c r="F208" s="129" t="str">
        <f>keiyakuid196&amp;""</f>
        <v/>
      </c>
      <c r="G208" s="129"/>
      <c r="H208" s="129"/>
      <c r="I208" s="129"/>
      <c r="J208" s="129"/>
      <c r="K208" s="129" t="str">
        <f>belugabun196&amp;""</f>
        <v/>
      </c>
      <c r="L208" t="b">
        <f>IF(oldbillingStationCustomerNumberOnly="",FALSE,shutoku196)</f>
        <v>0</v>
      </c>
    </row>
    <row r="209" spans="1:12">
      <c r="A209">
        <v>197</v>
      </c>
      <c r="B209" t="s">
        <v>70</v>
      </c>
      <c r="C209" t="str">
        <f>shubetsu197&amp;""</f>
        <v/>
      </c>
      <c r="D209" t="str">
        <f>(IF(削除番明[[#This Row],[請求種別]]="2",(LEFT(billid197,10)),billid197))&amp;""</f>
        <v/>
      </c>
      <c r="E209" t="str">
        <f>UPPER(SUBSTITUTE(削除番明[[#This Row],[ご請求番号]],"-",""))</f>
        <v/>
      </c>
      <c r="F209" s="129" t="str">
        <f>keiyakuid197&amp;""</f>
        <v/>
      </c>
      <c r="G209" s="129"/>
      <c r="H209" s="129"/>
      <c r="I209" s="129"/>
      <c r="J209" s="129"/>
      <c r="K209" s="129" t="str">
        <f>belugabun197&amp;""</f>
        <v/>
      </c>
      <c r="L209" t="b">
        <f>IF(oldbillingStationCustomerNumberOnly="",FALSE,shutoku197)</f>
        <v>0</v>
      </c>
    </row>
    <row r="210" spans="1:12">
      <c r="A210">
        <v>198</v>
      </c>
      <c r="B210" t="s">
        <v>70</v>
      </c>
      <c r="C210" t="str">
        <f>shubetsu198&amp;""</f>
        <v/>
      </c>
      <c r="D210" t="str">
        <f>(IF(削除番明[[#This Row],[請求種別]]="2",(LEFT(billid198,10)),billid198))&amp;""</f>
        <v/>
      </c>
      <c r="E210" t="str">
        <f>UPPER(SUBSTITUTE(削除番明[[#This Row],[ご請求番号]],"-",""))</f>
        <v/>
      </c>
      <c r="F210" s="129" t="str">
        <f>keiyakuid198&amp;""</f>
        <v/>
      </c>
      <c r="G210" s="129"/>
      <c r="H210" s="129"/>
      <c r="I210" s="129"/>
      <c r="J210" s="129"/>
      <c r="K210" s="129" t="str">
        <f>belugabun198&amp;""</f>
        <v/>
      </c>
      <c r="L210" t="b">
        <f>IF(oldbillingStationCustomerNumberOnly="",FALSE,shutoku198)</f>
        <v>0</v>
      </c>
    </row>
    <row r="211" spans="1:12">
      <c r="A211">
        <v>199</v>
      </c>
      <c r="B211" t="s">
        <v>70</v>
      </c>
      <c r="C211" t="str">
        <f>shubetsu199&amp;""</f>
        <v/>
      </c>
      <c r="D211" t="str">
        <f>(IF(削除番明[[#This Row],[請求種別]]="2",(LEFT(billid199,10)),billid199))&amp;""</f>
        <v/>
      </c>
      <c r="E211" t="str">
        <f>UPPER(SUBSTITUTE(削除番明[[#This Row],[ご請求番号]],"-",""))</f>
        <v/>
      </c>
      <c r="F211" s="129" t="str">
        <f>keiyakuid199&amp;""</f>
        <v/>
      </c>
      <c r="G211" s="129"/>
      <c r="H211" s="129"/>
      <c r="I211" s="129"/>
      <c r="J211" s="129"/>
      <c r="K211" s="129" t="str">
        <f>belugabun199&amp;""</f>
        <v/>
      </c>
      <c r="L211" t="b">
        <f>IF(oldbillingStationCustomerNumberOnly="",FALSE,shutoku199)</f>
        <v>0</v>
      </c>
    </row>
    <row r="212" spans="1:12">
      <c r="A212">
        <v>200</v>
      </c>
      <c r="B212" t="s">
        <v>70</v>
      </c>
      <c r="C212" t="str">
        <f>shubetsu200&amp;""</f>
        <v/>
      </c>
      <c r="D212" t="str">
        <f>(IF(削除番明[[#This Row],[請求種別]]="2",(LEFT(billid200,10)),billid200))&amp;""</f>
        <v/>
      </c>
      <c r="E212" t="str">
        <f>UPPER(SUBSTITUTE(削除番明[[#This Row],[ご請求番号]],"-",""))</f>
        <v/>
      </c>
      <c r="F212" s="129" t="str">
        <f>keiyakuid200&amp;""</f>
        <v/>
      </c>
      <c r="G212" s="129"/>
      <c r="H212" s="129"/>
      <c r="I212" s="129"/>
      <c r="J212" s="129"/>
      <c r="K212" s="129" t="str">
        <f>belugabun200&amp;""</f>
        <v/>
      </c>
      <c r="L212" t="b">
        <f>IF(oldbillingStationCustomerNumberOnly="",FALSE,shutoku200)</f>
        <v>0</v>
      </c>
    </row>
    <row r="213" spans="1:12">
      <c r="A213">
        <v>201</v>
      </c>
      <c r="B213" t="s">
        <v>70</v>
      </c>
      <c r="C213" t="str">
        <f>shubetsu201&amp;""</f>
        <v/>
      </c>
      <c r="D213" t="str">
        <f>(IF(削除番明[[#This Row],[請求種別]]="2",(LEFT(billid201,10)),billid201))&amp;""</f>
        <v/>
      </c>
      <c r="E213" t="str">
        <f>UPPER(SUBSTITUTE(削除番明[[#This Row],[ご請求番号]],"-",""))</f>
        <v/>
      </c>
      <c r="F213" s="129" t="str">
        <f>keiyakuid201&amp;""</f>
        <v/>
      </c>
      <c r="G213" s="129"/>
      <c r="H213" s="129"/>
      <c r="I213" s="129"/>
      <c r="J213" s="129"/>
      <c r="K213" s="129" t="str">
        <f>belugabun201&amp;""</f>
        <v/>
      </c>
      <c r="L213" t="b">
        <f>IF(oldbillingStationCustomerNumberOnly="",FALSE,shutoku201)</f>
        <v>0</v>
      </c>
    </row>
    <row r="214" spans="1:12">
      <c r="A214">
        <v>202</v>
      </c>
      <c r="B214" t="s">
        <v>70</v>
      </c>
      <c r="C214" t="str">
        <f>shubetsu202&amp;""</f>
        <v/>
      </c>
      <c r="D214" t="str">
        <f>(IF(削除番明[[#This Row],[請求種別]]="2",(LEFT(billid202,10)),billid202))&amp;""</f>
        <v/>
      </c>
      <c r="E214" t="str">
        <f>UPPER(SUBSTITUTE(削除番明[[#This Row],[ご請求番号]],"-",""))</f>
        <v/>
      </c>
      <c r="F214" s="129" t="str">
        <f>keiyakuid202&amp;""</f>
        <v/>
      </c>
      <c r="G214" s="129"/>
      <c r="H214" s="129"/>
      <c r="I214" s="129"/>
      <c r="J214" s="129"/>
      <c r="K214" s="129" t="str">
        <f>belugabun202&amp;""</f>
        <v/>
      </c>
      <c r="L214" t="b">
        <f>IF(oldbillingStationCustomerNumberOnly="",FALSE,shutoku202)</f>
        <v>0</v>
      </c>
    </row>
    <row r="215" spans="1:12">
      <c r="A215">
        <v>203</v>
      </c>
      <c r="B215" t="s">
        <v>70</v>
      </c>
      <c r="C215" t="str">
        <f>shubetsu203&amp;""</f>
        <v/>
      </c>
      <c r="D215" t="str">
        <f>(IF(削除番明[[#This Row],[請求種別]]="2",(LEFT(billid203,10)),billid203))&amp;""</f>
        <v/>
      </c>
      <c r="E215" t="str">
        <f>UPPER(SUBSTITUTE(削除番明[[#This Row],[ご請求番号]],"-",""))</f>
        <v/>
      </c>
      <c r="F215" s="129" t="str">
        <f>keiyakuid203&amp;""</f>
        <v/>
      </c>
      <c r="G215" s="129"/>
      <c r="H215" s="129"/>
      <c r="I215" s="129"/>
      <c r="J215" s="129"/>
      <c r="K215" s="129" t="str">
        <f>belugabun203&amp;""</f>
        <v/>
      </c>
      <c r="L215" t="b">
        <f>IF(oldbillingStationCustomerNumberOnly="",FALSE,shutoku203)</f>
        <v>0</v>
      </c>
    </row>
    <row r="216" spans="1:12">
      <c r="A216">
        <v>204</v>
      </c>
      <c r="B216" t="s">
        <v>70</v>
      </c>
      <c r="C216" t="str">
        <f>shubetsu204&amp;""</f>
        <v/>
      </c>
      <c r="D216" t="str">
        <f>(IF(削除番明[[#This Row],[請求種別]]="2",(LEFT(billid204,10)),billid204))&amp;""</f>
        <v/>
      </c>
      <c r="E216" t="str">
        <f>UPPER(SUBSTITUTE(削除番明[[#This Row],[ご請求番号]],"-",""))</f>
        <v/>
      </c>
      <c r="F216" s="129" t="str">
        <f>keiyakuid204&amp;""</f>
        <v/>
      </c>
      <c r="G216" s="129"/>
      <c r="H216" s="129"/>
      <c r="I216" s="129"/>
      <c r="J216" s="129"/>
      <c r="K216" s="129" t="str">
        <f>belugabun204&amp;""</f>
        <v/>
      </c>
      <c r="L216" t="b">
        <f>IF(oldbillingStationCustomerNumberOnly="",FALSE,shutoku204)</f>
        <v>0</v>
      </c>
    </row>
    <row r="217" spans="1:12">
      <c r="A217">
        <v>205</v>
      </c>
      <c r="B217" t="s">
        <v>70</v>
      </c>
      <c r="C217" t="str">
        <f>shubetsu205&amp;""</f>
        <v/>
      </c>
      <c r="D217" t="str">
        <f>(IF(削除番明[[#This Row],[請求種別]]="2",(LEFT(billid205,10)),billid205))&amp;""</f>
        <v/>
      </c>
      <c r="E217" t="str">
        <f>UPPER(SUBSTITUTE(削除番明[[#This Row],[ご請求番号]],"-",""))</f>
        <v/>
      </c>
      <c r="F217" s="129" t="str">
        <f>keiyakuid205&amp;""</f>
        <v/>
      </c>
      <c r="G217" s="129"/>
      <c r="H217" s="129"/>
      <c r="I217" s="129"/>
      <c r="J217" s="129"/>
      <c r="K217" s="129" t="str">
        <f>belugabun205&amp;""</f>
        <v/>
      </c>
      <c r="L217" t="b">
        <f>IF(oldbillingStationCustomerNumberOnly="",FALSE,shutoku205)</f>
        <v>0</v>
      </c>
    </row>
    <row r="218" spans="1:12">
      <c r="A218">
        <v>206</v>
      </c>
      <c r="B218" t="s">
        <v>70</v>
      </c>
      <c r="C218" t="str">
        <f>shubetsu206&amp;""</f>
        <v/>
      </c>
      <c r="D218" t="str">
        <f>(IF(削除番明[[#This Row],[請求種別]]="2",(LEFT(billid206,10)),billid206))&amp;""</f>
        <v/>
      </c>
      <c r="E218" t="str">
        <f>UPPER(SUBSTITUTE(削除番明[[#This Row],[ご請求番号]],"-",""))</f>
        <v/>
      </c>
      <c r="F218" s="129" t="str">
        <f>keiyakuid206&amp;""</f>
        <v/>
      </c>
      <c r="G218" s="129"/>
      <c r="H218" s="129"/>
      <c r="I218" s="129"/>
      <c r="J218" s="129"/>
      <c r="K218" s="129" t="str">
        <f>belugabun206&amp;""</f>
        <v/>
      </c>
      <c r="L218" t="b">
        <f>IF(oldbillingStationCustomerNumberOnly="",FALSE,shutoku206)</f>
        <v>0</v>
      </c>
    </row>
    <row r="219" spans="1:12">
      <c r="A219">
        <v>207</v>
      </c>
      <c r="B219" t="s">
        <v>70</v>
      </c>
      <c r="C219" t="str">
        <f>shubetsu207&amp;""</f>
        <v/>
      </c>
      <c r="D219" t="str">
        <f>(IF(削除番明[[#This Row],[請求種別]]="2",(LEFT(billid207,10)),billid207))&amp;""</f>
        <v/>
      </c>
      <c r="E219" t="str">
        <f>UPPER(SUBSTITUTE(削除番明[[#This Row],[ご請求番号]],"-",""))</f>
        <v/>
      </c>
      <c r="F219" s="129" t="str">
        <f>keiyakuid207&amp;""</f>
        <v/>
      </c>
      <c r="G219" s="129"/>
      <c r="H219" s="129"/>
      <c r="I219" s="129"/>
      <c r="J219" s="129"/>
      <c r="K219" s="129" t="str">
        <f>belugabun207&amp;""</f>
        <v/>
      </c>
      <c r="L219" t="b">
        <f>IF(oldbillingStationCustomerNumberOnly="",FALSE,shutoku207)</f>
        <v>0</v>
      </c>
    </row>
    <row r="220" spans="1:12">
      <c r="A220">
        <v>208</v>
      </c>
      <c r="B220" t="s">
        <v>70</v>
      </c>
      <c r="C220" t="str">
        <f>shubetsu208&amp;""</f>
        <v/>
      </c>
      <c r="D220" t="str">
        <f>(IF(削除番明[[#This Row],[請求種別]]="2",(LEFT(billid208,10)),billid208))&amp;""</f>
        <v/>
      </c>
      <c r="E220" t="str">
        <f>UPPER(SUBSTITUTE(削除番明[[#This Row],[ご請求番号]],"-",""))</f>
        <v/>
      </c>
      <c r="F220" s="129" t="str">
        <f>keiyakuid208&amp;""</f>
        <v/>
      </c>
      <c r="G220" s="129"/>
      <c r="H220" s="129"/>
      <c r="I220" s="129"/>
      <c r="J220" s="129"/>
      <c r="K220" s="129" t="str">
        <f>belugabun208&amp;""</f>
        <v/>
      </c>
      <c r="L220" t="b">
        <f>IF(oldbillingStationCustomerNumberOnly="",FALSE,shutoku208)</f>
        <v>0</v>
      </c>
    </row>
    <row r="221" spans="1:12">
      <c r="A221">
        <v>209</v>
      </c>
      <c r="B221" t="s">
        <v>70</v>
      </c>
      <c r="C221" t="str">
        <f>shubetsu209&amp;""</f>
        <v/>
      </c>
      <c r="D221" t="str">
        <f>(IF(削除番明[[#This Row],[請求種別]]="2",(LEFT(billid209,10)),billid209))&amp;""</f>
        <v/>
      </c>
      <c r="E221" t="str">
        <f>UPPER(SUBSTITUTE(削除番明[[#This Row],[ご請求番号]],"-",""))</f>
        <v/>
      </c>
      <c r="F221" s="129" t="str">
        <f>keiyakuid209&amp;""</f>
        <v/>
      </c>
      <c r="G221" s="129"/>
      <c r="H221" s="129"/>
      <c r="I221" s="129"/>
      <c r="J221" s="129"/>
      <c r="K221" s="129" t="str">
        <f>belugabun209&amp;""</f>
        <v/>
      </c>
      <c r="L221" t="b">
        <f>IF(oldbillingStationCustomerNumberOnly="",FALSE,shutoku209)</f>
        <v>0</v>
      </c>
    </row>
    <row r="222" spans="1:12">
      <c r="A222">
        <v>210</v>
      </c>
      <c r="B222" t="s">
        <v>70</v>
      </c>
      <c r="C222" t="str">
        <f>shubetsu210&amp;""</f>
        <v/>
      </c>
      <c r="D222" t="str">
        <f>(IF(削除番明[[#This Row],[請求種別]]="2",(LEFT(billid210,10)),billid210))&amp;""</f>
        <v/>
      </c>
      <c r="E222" t="str">
        <f>UPPER(SUBSTITUTE(削除番明[[#This Row],[ご請求番号]],"-",""))</f>
        <v/>
      </c>
      <c r="F222" s="129" t="str">
        <f>keiyakuid210&amp;""</f>
        <v/>
      </c>
      <c r="G222" s="129"/>
      <c r="H222" s="129"/>
      <c r="I222" s="129"/>
      <c r="J222" s="129"/>
      <c r="K222" s="129" t="str">
        <f>belugabun210&amp;""</f>
        <v/>
      </c>
      <c r="L222" t="b">
        <f>IF(oldbillingStationCustomerNumberOnly="",FALSE,shutoku210)</f>
        <v>0</v>
      </c>
    </row>
    <row r="223" spans="1:12">
      <c r="A223">
        <v>211</v>
      </c>
      <c r="B223" t="s">
        <v>70</v>
      </c>
      <c r="C223" t="str">
        <f>shubetsu211&amp;""</f>
        <v/>
      </c>
      <c r="D223" t="str">
        <f>(IF(削除番明[[#This Row],[請求種別]]="2",(LEFT(billid211,10)),billid211))&amp;""</f>
        <v/>
      </c>
      <c r="E223" t="str">
        <f>UPPER(SUBSTITUTE(削除番明[[#This Row],[ご請求番号]],"-",""))</f>
        <v/>
      </c>
      <c r="F223" s="129" t="str">
        <f>keiyakuid211&amp;""</f>
        <v/>
      </c>
      <c r="G223" s="129"/>
      <c r="H223" s="129"/>
      <c r="I223" s="129"/>
      <c r="J223" s="129"/>
      <c r="K223" s="129" t="str">
        <f>belugabun211&amp;""</f>
        <v/>
      </c>
      <c r="L223" t="b">
        <f>IF(oldbillingStationCustomerNumberOnly="",FALSE,shutoku211)</f>
        <v>0</v>
      </c>
    </row>
    <row r="224" spans="1:12">
      <c r="A224">
        <v>212</v>
      </c>
      <c r="B224" t="s">
        <v>70</v>
      </c>
      <c r="C224" t="str">
        <f>shubetsu212&amp;""</f>
        <v/>
      </c>
      <c r="D224" t="str">
        <f>(IF(削除番明[[#This Row],[請求種別]]="2",(LEFT(billid212,10)),billid212))&amp;""</f>
        <v/>
      </c>
      <c r="E224" t="str">
        <f>UPPER(SUBSTITUTE(削除番明[[#This Row],[ご請求番号]],"-",""))</f>
        <v/>
      </c>
      <c r="F224" s="129" t="str">
        <f>keiyakuid212&amp;""</f>
        <v/>
      </c>
      <c r="G224" s="129"/>
      <c r="H224" s="129"/>
      <c r="I224" s="129"/>
      <c r="J224" s="129"/>
      <c r="K224" s="129" t="str">
        <f>belugabun212&amp;""</f>
        <v/>
      </c>
      <c r="L224" t="b">
        <f>IF(oldbillingStationCustomerNumberOnly="",FALSE,shutoku212)</f>
        <v>0</v>
      </c>
    </row>
    <row r="225" spans="1:12">
      <c r="A225">
        <v>213</v>
      </c>
      <c r="B225" t="s">
        <v>70</v>
      </c>
      <c r="C225" t="str">
        <f>shubetsu213&amp;""</f>
        <v/>
      </c>
      <c r="D225" t="str">
        <f>(IF(削除番明[[#This Row],[請求種別]]="2",(LEFT(billid213,10)),billid213))&amp;""</f>
        <v/>
      </c>
      <c r="E225" t="str">
        <f>UPPER(SUBSTITUTE(削除番明[[#This Row],[ご請求番号]],"-",""))</f>
        <v/>
      </c>
      <c r="F225" s="129" t="str">
        <f>keiyakuid213&amp;""</f>
        <v/>
      </c>
      <c r="G225" s="129"/>
      <c r="H225" s="129"/>
      <c r="I225" s="129"/>
      <c r="J225" s="129"/>
      <c r="K225" s="129" t="str">
        <f>belugabun213&amp;""</f>
        <v/>
      </c>
      <c r="L225" t="b">
        <f>IF(oldbillingStationCustomerNumberOnly="",FALSE,shutoku213)</f>
        <v>0</v>
      </c>
    </row>
    <row r="226" spans="1:12">
      <c r="A226">
        <v>214</v>
      </c>
      <c r="B226" t="s">
        <v>70</v>
      </c>
      <c r="C226" t="str">
        <f>shubetsu214&amp;""</f>
        <v/>
      </c>
      <c r="D226" t="str">
        <f>(IF(削除番明[[#This Row],[請求種別]]="2",(LEFT(billid214,10)),billid214))&amp;""</f>
        <v/>
      </c>
      <c r="E226" t="str">
        <f>UPPER(SUBSTITUTE(削除番明[[#This Row],[ご請求番号]],"-",""))</f>
        <v/>
      </c>
      <c r="F226" s="129" t="str">
        <f>keiyakuid214&amp;""</f>
        <v/>
      </c>
      <c r="G226" s="129"/>
      <c r="H226" s="129"/>
      <c r="I226" s="129"/>
      <c r="J226" s="129"/>
      <c r="K226" s="129" t="str">
        <f>belugabun214&amp;""</f>
        <v/>
      </c>
      <c r="L226" t="b">
        <f>IF(oldbillingStationCustomerNumberOnly="",FALSE,shutoku214)</f>
        <v>0</v>
      </c>
    </row>
    <row r="227" spans="1:12">
      <c r="A227">
        <v>215</v>
      </c>
      <c r="B227" t="s">
        <v>70</v>
      </c>
      <c r="C227" t="str">
        <f>shubetsu215&amp;""</f>
        <v/>
      </c>
      <c r="D227" t="str">
        <f>(IF(削除番明[[#This Row],[請求種別]]="2",(LEFT(billid215,10)),billid215))&amp;""</f>
        <v/>
      </c>
      <c r="E227" t="str">
        <f>UPPER(SUBSTITUTE(削除番明[[#This Row],[ご請求番号]],"-",""))</f>
        <v/>
      </c>
      <c r="F227" s="129" t="str">
        <f>keiyakuid215&amp;""</f>
        <v/>
      </c>
      <c r="G227" s="129"/>
      <c r="H227" s="129"/>
      <c r="I227" s="129"/>
      <c r="J227" s="129"/>
      <c r="K227" s="129" t="str">
        <f>belugabun215&amp;""</f>
        <v/>
      </c>
      <c r="L227" t="b">
        <f>IF(oldbillingStationCustomerNumberOnly="",FALSE,shutoku215)</f>
        <v>0</v>
      </c>
    </row>
    <row r="228" spans="1:12">
      <c r="A228">
        <v>216</v>
      </c>
      <c r="B228" t="s">
        <v>70</v>
      </c>
      <c r="C228" t="str">
        <f>shubetsu216&amp;""</f>
        <v/>
      </c>
      <c r="D228" t="str">
        <f>(IF(削除番明[[#This Row],[請求種別]]="2",(LEFT(billid216,10)),billid216))&amp;""</f>
        <v/>
      </c>
      <c r="E228" t="str">
        <f>UPPER(SUBSTITUTE(削除番明[[#This Row],[ご請求番号]],"-",""))</f>
        <v/>
      </c>
      <c r="F228" s="129" t="str">
        <f>keiyakuid216&amp;""</f>
        <v/>
      </c>
      <c r="G228" s="129"/>
      <c r="H228" s="129"/>
      <c r="I228" s="129"/>
      <c r="J228" s="129"/>
      <c r="K228" s="129" t="str">
        <f>belugabun216&amp;""</f>
        <v/>
      </c>
      <c r="L228" t="b">
        <f>IF(oldbillingStationCustomerNumberOnly="",FALSE,shutoku216)</f>
        <v>0</v>
      </c>
    </row>
    <row r="229" spans="1:12">
      <c r="A229">
        <v>217</v>
      </c>
      <c r="B229" t="s">
        <v>70</v>
      </c>
      <c r="C229" t="str">
        <f>shubetsu217&amp;""</f>
        <v/>
      </c>
      <c r="D229" t="str">
        <f>(IF(削除番明[[#This Row],[請求種別]]="2",(LEFT(billid217,10)),billid217))&amp;""</f>
        <v/>
      </c>
      <c r="E229" t="str">
        <f>UPPER(SUBSTITUTE(削除番明[[#This Row],[ご請求番号]],"-",""))</f>
        <v/>
      </c>
      <c r="F229" s="129" t="str">
        <f>keiyakuid217&amp;""</f>
        <v/>
      </c>
      <c r="G229" s="129"/>
      <c r="H229" s="129"/>
      <c r="I229" s="129"/>
      <c r="J229" s="129"/>
      <c r="K229" s="129" t="str">
        <f>belugabun217&amp;""</f>
        <v/>
      </c>
      <c r="L229" t="b">
        <f>IF(oldbillingStationCustomerNumberOnly="",FALSE,shutoku217)</f>
        <v>0</v>
      </c>
    </row>
    <row r="230" spans="1:12">
      <c r="A230">
        <v>218</v>
      </c>
      <c r="B230" t="s">
        <v>70</v>
      </c>
      <c r="C230" t="str">
        <f>shubetsu218&amp;""</f>
        <v/>
      </c>
      <c r="D230" t="str">
        <f>(IF(削除番明[[#This Row],[請求種別]]="2",(LEFT(billid218,10)),billid218))&amp;""</f>
        <v/>
      </c>
      <c r="E230" t="str">
        <f>UPPER(SUBSTITUTE(削除番明[[#This Row],[ご請求番号]],"-",""))</f>
        <v/>
      </c>
      <c r="F230" s="129" t="str">
        <f>keiyakuid218&amp;""</f>
        <v/>
      </c>
      <c r="G230" s="129"/>
      <c r="H230" s="129"/>
      <c r="I230" s="129"/>
      <c r="J230" s="129"/>
      <c r="K230" s="129" t="str">
        <f>belugabun218&amp;""</f>
        <v/>
      </c>
      <c r="L230" t="b">
        <f>IF(oldbillingStationCustomerNumberOnly="",FALSE,shutoku218)</f>
        <v>0</v>
      </c>
    </row>
    <row r="231" spans="1:12">
      <c r="A231">
        <v>219</v>
      </c>
      <c r="B231" t="s">
        <v>70</v>
      </c>
      <c r="C231" t="str">
        <f>shubetsu219&amp;""</f>
        <v/>
      </c>
      <c r="D231" t="str">
        <f>(IF(削除番明[[#This Row],[請求種別]]="2",(LEFT(billid219,10)),billid219))&amp;""</f>
        <v/>
      </c>
      <c r="E231" t="str">
        <f>UPPER(SUBSTITUTE(削除番明[[#This Row],[ご請求番号]],"-",""))</f>
        <v/>
      </c>
      <c r="F231" s="129" t="str">
        <f>keiyakuid219&amp;""</f>
        <v/>
      </c>
      <c r="G231" s="129"/>
      <c r="H231" s="129"/>
      <c r="I231" s="129"/>
      <c r="J231" s="129"/>
      <c r="K231" s="129" t="str">
        <f>belugabun219&amp;""</f>
        <v/>
      </c>
      <c r="L231" t="b">
        <f>IF(oldbillingStationCustomerNumberOnly="",FALSE,shutoku219)</f>
        <v>0</v>
      </c>
    </row>
    <row r="232" spans="1:12">
      <c r="A232">
        <v>220</v>
      </c>
      <c r="B232" t="s">
        <v>70</v>
      </c>
      <c r="C232" t="str">
        <f>shubetsu220&amp;""</f>
        <v/>
      </c>
      <c r="D232" t="str">
        <f>(IF(削除番明[[#This Row],[請求種別]]="2",(LEFT(billid220,10)),billid220))&amp;""</f>
        <v/>
      </c>
      <c r="E232" t="str">
        <f>UPPER(SUBSTITUTE(削除番明[[#This Row],[ご請求番号]],"-",""))</f>
        <v/>
      </c>
      <c r="F232" s="129" t="str">
        <f>keiyakuid220&amp;""</f>
        <v/>
      </c>
      <c r="G232" s="129"/>
      <c r="H232" s="129"/>
      <c r="I232" s="129"/>
      <c r="J232" s="129"/>
      <c r="K232" s="129" t="str">
        <f>belugabun220&amp;""</f>
        <v/>
      </c>
      <c r="L232" t="b">
        <f>IF(oldbillingStationCustomerNumberOnly="",FALSE,shutoku220)</f>
        <v>0</v>
      </c>
    </row>
    <row r="233" spans="1:12">
      <c r="A233">
        <v>221</v>
      </c>
      <c r="B233" t="s">
        <v>70</v>
      </c>
      <c r="C233" t="str">
        <f>shubetsu221&amp;""</f>
        <v/>
      </c>
      <c r="D233" t="str">
        <f>(IF(削除番明[[#This Row],[請求種別]]="2",(LEFT(billid221,10)),billid221))&amp;""</f>
        <v/>
      </c>
      <c r="E233" t="str">
        <f>UPPER(SUBSTITUTE(削除番明[[#This Row],[ご請求番号]],"-",""))</f>
        <v/>
      </c>
      <c r="F233" s="129" t="str">
        <f>keiyakuid221&amp;""</f>
        <v/>
      </c>
      <c r="G233" s="129"/>
      <c r="H233" s="129"/>
      <c r="I233" s="129"/>
      <c r="J233" s="129"/>
      <c r="K233" s="129" t="str">
        <f>belugabun221&amp;""</f>
        <v/>
      </c>
      <c r="L233" t="b">
        <f>IF(oldbillingStationCustomerNumberOnly="",FALSE,shutoku221)</f>
        <v>0</v>
      </c>
    </row>
    <row r="234" spans="1:12">
      <c r="A234">
        <v>222</v>
      </c>
      <c r="B234" t="s">
        <v>70</v>
      </c>
      <c r="C234" t="str">
        <f>shubetsu222&amp;""</f>
        <v/>
      </c>
      <c r="D234" t="str">
        <f>(IF(削除番明[[#This Row],[請求種別]]="2",(LEFT(billid222,10)),billid222))&amp;""</f>
        <v/>
      </c>
      <c r="E234" t="str">
        <f>UPPER(SUBSTITUTE(削除番明[[#This Row],[ご請求番号]],"-",""))</f>
        <v/>
      </c>
      <c r="F234" s="129" t="str">
        <f>keiyakuid222&amp;""</f>
        <v/>
      </c>
      <c r="G234" s="129"/>
      <c r="H234" s="129"/>
      <c r="I234" s="129"/>
      <c r="J234" s="129"/>
      <c r="K234" s="129" t="str">
        <f>belugabun222&amp;""</f>
        <v/>
      </c>
      <c r="L234" t="b">
        <f>IF(oldbillingStationCustomerNumberOnly="",FALSE,shutoku222)</f>
        <v>0</v>
      </c>
    </row>
    <row r="235" spans="1:12">
      <c r="A235">
        <v>223</v>
      </c>
      <c r="B235" t="s">
        <v>70</v>
      </c>
      <c r="C235" t="str">
        <f>shubetsu223&amp;""</f>
        <v/>
      </c>
      <c r="D235" t="str">
        <f>(IF(削除番明[[#This Row],[請求種別]]="2",(LEFT(billid223,10)),billid223))&amp;""</f>
        <v/>
      </c>
      <c r="E235" t="str">
        <f>UPPER(SUBSTITUTE(削除番明[[#This Row],[ご請求番号]],"-",""))</f>
        <v/>
      </c>
      <c r="F235" s="129" t="str">
        <f>keiyakuid223&amp;""</f>
        <v/>
      </c>
      <c r="G235" s="129"/>
      <c r="H235" s="129"/>
      <c r="I235" s="129"/>
      <c r="J235" s="129"/>
      <c r="K235" s="129" t="str">
        <f>belugabun223&amp;""</f>
        <v/>
      </c>
      <c r="L235" t="b">
        <f>IF(oldbillingStationCustomerNumberOnly="",FALSE,shutoku223)</f>
        <v>0</v>
      </c>
    </row>
    <row r="236" spans="1:12">
      <c r="A236">
        <v>224</v>
      </c>
      <c r="B236" t="s">
        <v>70</v>
      </c>
      <c r="C236" t="str">
        <f>shubetsu224&amp;""</f>
        <v/>
      </c>
      <c r="D236" t="str">
        <f>(IF(削除番明[[#This Row],[請求種別]]="2",(LEFT(billid224,10)),billid224))&amp;""</f>
        <v/>
      </c>
      <c r="E236" t="str">
        <f>UPPER(SUBSTITUTE(削除番明[[#This Row],[ご請求番号]],"-",""))</f>
        <v/>
      </c>
      <c r="F236" s="129" t="str">
        <f>keiyakuid224&amp;""</f>
        <v/>
      </c>
      <c r="G236" s="129"/>
      <c r="H236" s="129"/>
      <c r="I236" s="129"/>
      <c r="J236" s="129"/>
      <c r="K236" s="129" t="str">
        <f>belugabun224&amp;""</f>
        <v/>
      </c>
      <c r="L236" t="b">
        <f>IF(oldbillingStationCustomerNumberOnly="",FALSE,shutoku224)</f>
        <v>0</v>
      </c>
    </row>
    <row r="237" spans="1:12">
      <c r="A237">
        <v>225</v>
      </c>
      <c r="B237" t="s">
        <v>70</v>
      </c>
      <c r="C237" t="str">
        <f>shubetsu225&amp;""</f>
        <v/>
      </c>
      <c r="D237" t="str">
        <f>(IF(削除番明[[#This Row],[請求種別]]="2",(LEFT(billid225,10)),billid225))&amp;""</f>
        <v/>
      </c>
      <c r="E237" t="str">
        <f>UPPER(SUBSTITUTE(削除番明[[#This Row],[ご請求番号]],"-",""))</f>
        <v/>
      </c>
      <c r="F237" s="129" t="str">
        <f>keiyakuid225&amp;""</f>
        <v/>
      </c>
      <c r="G237" s="129"/>
      <c r="H237" s="129"/>
      <c r="I237" s="129"/>
      <c r="J237" s="129"/>
      <c r="K237" s="129" t="str">
        <f>belugabun225&amp;""</f>
        <v/>
      </c>
      <c r="L237" t="b">
        <f>IF(oldbillingStationCustomerNumberOnly="",FALSE,shutoku225)</f>
        <v>0</v>
      </c>
    </row>
    <row r="238" spans="1:12">
      <c r="A238">
        <v>226</v>
      </c>
      <c r="B238" t="s">
        <v>70</v>
      </c>
      <c r="C238" t="str">
        <f>shubetsu226&amp;""</f>
        <v/>
      </c>
      <c r="D238" t="str">
        <f>(IF(削除番明[[#This Row],[請求種別]]="2",(LEFT(billid226,10)),billid226))&amp;""</f>
        <v/>
      </c>
      <c r="E238" t="str">
        <f>UPPER(SUBSTITUTE(削除番明[[#This Row],[ご請求番号]],"-",""))</f>
        <v/>
      </c>
      <c r="F238" s="129" t="str">
        <f>keiyakuid226&amp;""</f>
        <v/>
      </c>
      <c r="G238" s="129"/>
      <c r="H238" s="129"/>
      <c r="I238" s="129"/>
      <c r="J238" s="129"/>
      <c r="K238" s="129" t="str">
        <f>belugabun226&amp;""</f>
        <v/>
      </c>
      <c r="L238" t="b">
        <f>IF(oldbillingStationCustomerNumberOnly="",FALSE,shutoku226)</f>
        <v>0</v>
      </c>
    </row>
    <row r="239" spans="1:12">
      <c r="A239">
        <v>227</v>
      </c>
      <c r="B239" t="s">
        <v>70</v>
      </c>
      <c r="C239" t="str">
        <f>shubetsu227&amp;""</f>
        <v/>
      </c>
      <c r="D239" t="str">
        <f>(IF(削除番明[[#This Row],[請求種別]]="2",(LEFT(billid227,10)),billid227))&amp;""</f>
        <v/>
      </c>
      <c r="E239" t="str">
        <f>UPPER(SUBSTITUTE(削除番明[[#This Row],[ご請求番号]],"-",""))</f>
        <v/>
      </c>
      <c r="F239" s="129" t="str">
        <f>keiyakuid227&amp;""</f>
        <v/>
      </c>
      <c r="G239" s="129"/>
      <c r="H239" s="129"/>
      <c r="I239" s="129"/>
      <c r="J239" s="129"/>
      <c r="K239" s="129" t="str">
        <f>belugabun227&amp;""</f>
        <v/>
      </c>
      <c r="L239" t="b">
        <f>IF(oldbillingStationCustomerNumberOnly="",FALSE,shutoku227)</f>
        <v>0</v>
      </c>
    </row>
    <row r="240" spans="1:12">
      <c r="A240">
        <v>228</v>
      </c>
      <c r="B240" t="s">
        <v>70</v>
      </c>
      <c r="C240" t="str">
        <f>shubetsu228&amp;""</f>
        <v/>
      </c>
      <c r="D240" t="str">
        <f>(IF(削除番明[[#This Row],[請求種別]]="2",(LEFT(billid228,10)),billid228))&amp;""</f>
        <v/>
      </c>
      <c r="E240" t="str">
        <f>UPPER(SUBSTITUTE(削除番明[[#This Row],[ご請求番号]],"-",""))</f>
        <v/>
      </c>
      <c r="F240" s="129" t="str">
        <f>keiyakuid228&amp;""</f>
        <v/>
      </c>
      <c r="G240" s="129"/>
      <c r="H240" s="129"/>
      <c r="I240" s="129"/>
      <c r="J240" s="129"/>
      <c r="K240" s="129" t="str">
        <f>belugabun228&amp;""</f>
        <v/>
      </c>
      <c r="L240" t="b">
        <f>IF(oldbillingStationCustomerNumberOnly="",FALSE,shutoku228)</f>
        <v>0</v>
      </c>
    </row>
    <row r="241" spans="1:12">
      <c r="A241">
        <v>229</v>
      </c>
      <c r="B241" t="s">
        <v>70</v>
      </c>
      <c r="C241" t="str">
        <f>shubetsu229&amp;""</f>
        <v/>
      </c>
      <c r="D241" t="str">
        <f>(IF(削除番明[[#This Row],[請求種別]]="2",(LEFT(billid229,10)),billid229))&amp;""</f>
        <v/>
      </c>
      <c r="E241" t="str">
        <f>UPPER(SUBSTITUTE(削除番明[[#This Row],[ご請求番号]],"-",""))</f>
        <v/>
      </c>
      <c r="F241" s="129" t="str">
        <f>keiyakuid229&amp;""</f>
        <v/>
      </c>
      <c r="G241" s="129"/>
      <c r="H241" s="129"/>
      <c r="I241" s="129"/>
      <c r="J241" s="129"/>
      <c r="K241" s="129" t="str">
        <f>belugabun229&amp;""</f>
        <v/>
      </c>
      <c r="L241" t="b">
        <f>IF(oldbillingStationCustomerNumberOnly="",FALSE,shutoku229)</f>
        <v>0</v>
      </c>
    </row>
    <row r="242" spans="1:12">
      <c r="A242">
        <v>230</v>
      </c>
      <c r="B242" t="s">
        <v>70</v>
      </c>
      <c r="C242" t="str">
        <f>shubetsu230&amp;""</f>
        <v/>
      </c>
      <c r="D242" t="str">
        <f>(IF(削除番明[[#This Row],[請求種別]]="2",(LEFT(billid230,10)),billid230))&amp;""</f>
        <v/>
      </c>
      <c r="E242" t="str">
        <f>UPPER(SUBSTITUTE(削除番明[[#This Row],[ご請求番号]],"-",""))</f>
        <v/>
      </c>
      <c r="F242" s="129" t="str">
        <f>keiyakuid230&amp;""</f>
        <v/>
      </c>
      <c r="G242" s="129"/>
      <c r="H242" s="129"/>
      <c r="I242" s="129"/>
      <c r="J242" s="129"/>
      <c r="K242" s="129" t="str">
        <f>belugabun230&amp;""</f>
        <v/>
      </c>
      <c r="L242" t="b">
        <f>IF(oldbillingStationCustomerNumberOnly="",FALSE,shutoku230)</f>
        <v>0</v>
      </c>
    </row>
    <row r="243" spans="1:12">
      <c r="A243">
        <v>231</v>
      </c>
      <c r="B243" t="s">
        <v>70</v>
      </c>
      <c r="C243" t="str">
        <f>shubetsu231&amp;""</f>
        <v/>
      </c>
      <c r="D243" t="str">
        <f>(IF(削除番明[[#This Row],[請求種別]]="2",(LEFT(billid231,10)),billid231))&amp;""</f>
        <v/>
      </c>
      <c r="E243" t="str">
        <f>UPPER(SUBSTITUTE(削除番明[[#This Row],[ご請求番号]],"-",""))</f>
        <v/>
      </c>
      <c r="F243" s="129" t="str">
        <f>keiyakuid231&amp;""</f>
        <v/>
      </c>
      <c r="G243" s="129"/>
      <c r="H243" s="129"/>
      <c r="I243" s="129"/>
      <c r="J243" s="129"/>
      <c r="K243" s="129" t="str">
        <f>belugabun231&amp;""</f>
        <v/>
      </c>
      <c r="L243" t="b">
        <f>IF(oldbillingStationCustomerNumberOnly="",FALSE,shutoku231)</f>
        <v>0</v>
      </c>
    </row>
    <row r="244" spans="1:12">
      <c r="A244">
        <v>232</v>
      </c>
      <c r="B244" t="s">
        <v>70</v>
      </c>
      <c r="C244" t="str">
        <f>shubetsu232&amp;""</f>
        <v/>
      </c>
      <c r="D244" t="str">
        <f>(IF(削除番明[[#This Row],[請求種別]]="2",(LEFT(billid232,10)),billid232))&amp;""</f>
        <v/>
      </c>
      <c r="E244" t="str">
        <f>UPPER(SUBSTITUTE(削除番明[[#This Row],[ご請求番号]],"-",""))</f>
        <v/>
      </c>
      <c r="F244" s="129" t="str">
        <f>keiyakuid232&amp;""</f>
        <v/>
      </c>
      <c r="G244" s="129"/>
      <c r="H244" s="129"/>
      <c r="I244" s="129"/>
      <c r="J244" s="129"/>
      <c r="K244" s="129" t="str">
        <f>belugabun232&amp;""</f>
        <v/>
      </c>
      <c r="L244" t="b">
        <f>IF(oldbillingStationCustomerNumberOnly="",FALSE,shutoku232)</f>
        <v>0</v>
      </c>
    </row>
    <row r="245" spans="1:12">
      <c r="A245">
        <v>233</v>
      </c>
      <c r="B245" t="s">
        <v>70</v>
      </c>
      <c r="C245" t="str">
        <f>shubetsu233&amp;""</f>
        <v/>
      </c>
      <c r="D245" t="str">
        <f>(IF(削除番明[[#This Row],[請求種別]]="2",(LEFT(billid233,10)),billid233))&amp;""</f>
        <v/>
      </c>
      <c r="E245" t="str">
        <f>UPPER(SUBSTITUTE(削除番明[[#This Row],[ご請求番号]],"-",""))</f>
        <v/>
      </c>
      <c r="F245" s="129" t="str">
        <f>keiyakuid233&amp;""</f>
        <v/>
      </c>
      <c r="G245" s="129"/>
      <c r="H245" s="129"/>
      <c r="I245" s="129"/>
      <c r="J245" s="129"/>
      <c r="K245" s="129" t="str">
        <f>belugabun233&amp;""</f>
        <v/>
      </c>
      <c r="L245" t="b">
        <f>IF(oldbillingStationCustomerNumberOnly="",FALSE,shutoku233)</f>
        <v>0</v>
      </c>
    </row>
    <row r="246" spans="1:12">
      <c r="A246">
        <v>234</v>
      </c>
      <c r="B246" t="s">
        <v>70</v>
      </c>
      <c r="C246" t="str">
        <f>shubetsu234&amp;""</f>
        <v/>
      </c>
      <c r="D246" t="str">
        <f>(IF(削除番明[[#This Row],[請求種別]]="2",(LEFT(billid234,10)),billid234))&amp;""</f>
        <v/>
      </c>
      <c r="E246" t="str">
        <f>UPPER(SUBSTITUTE(削除番明[[#This Row],[ご請求番号]],"-",""))</f>
        <v/>
      </c>
      <c r="F246" s="129" t="str">
        <f>keiyakuid234&amp;""</f>
        <v/>
      </c>
      <c r="G246" s="129"/>
      <c r="H246" s="129"/>
      <c r="I246" s="129"/>
      <c r="J246" s="129"/>
      <c r="K246" s="129" t="str">
        <f>belugabun234&amp;""</f>
        <v/>
      </c>
      <c r="L246" t="b">
        <f>IF(oldbillingStationCustomerNumberOnly="",FALSE,shutoku234)</f>
        <v>0</v>
      </c>
    </row>
    <row r="247" spans="1:12">
      <c r="A247">
        <v>235</v>
      </c>
      <c r="B247" t="s">
        <v>70</v>
      </c>
      <c r="C247" t="str">
        <f>shubetsu235&amp;""</f>
        <v/>
      </c>
      <c r="D247" t="str">
        <f>(IF(削除番明[[#This Row],[請求種別]]="2",(LEFT(billid235,10)),billid235))&amp;""</f>
        <v/>
      </c>
      <c r="E247" t="str">
        <f>UPPER(SUBSTITUTE(削除番明[[#This Row],[ご請求番号]],"-",""))</f>
        <v/>
      </c>
      <c r="F247" s="129" t="str">
        <f>keiyakuid235&amp;""</f>
        <v/>
      </c>
      <c r="G247" s="129"/>
      <c r="H247" s="129"/>
      <c r="I247" s="129"/>
      <c r="J247" s="129"/>
      <c r="K247" s="129" t="str">
        <f>belugabun235&amp;""</f>
        <v/>
      </c>
      <c r="L247" t="b">
        <f>IF(oldbillingStationCustomerNumberOnly="",FALSE,shutoku235)</f>
        <v>0</v>
      </c>
    </row>
    <row r="248" spans="1:12">
      <c r="A248">
        <v>236</v>
      </c>
      <c r="B248" t="s">
        <v>70</v>
      </c>
      <c r="C248" t="str">
        <f>shubetsu236&amp;""</f>
        <v/>
      </c>
      <c r="D248" t="str">
        <f>(IF(削除番明[[#This Row],[請求種別]]="2",(LEFT(billid236,10)),billid236))&amp;""</f>
        <v/>
      </c>
      <c r="E248" t="str">
        <f>UPPER(SUBSTITUTE(削除番明[[#This Row],[ご請求番号]],"-",""))</f>
        <v/>
      </c>
      <c r="F248" s="129" t="str">
        <f>keiyakuid236&amp;""</f>
        <v/>
      </c>
      <c r="G248" s="129"/>
      <c r="H248" s="129"/>
      <c r="I248" s="129"/>
      <c r="J248" s="129"/>
      <c r="K248" s="129" t="str">
        <f>belugabun236&amp;""</f>
        <v/>
      </c>
      <c r="L248" t="b">
        <f>IF(oldbillingStationCustomerNumberOnly="",FALSE,shutoku236)</f>
        <v>0</v>
      </c>
    </row>
    <row r="249" spans="1:12">
      <c r="A249">
        <v>237</v>
      </c>
      <c r="B249" t="s">
        <v>70</v>
      </c>
      <c r="C249" t="str">
        <f>shubetsu237&amp;""</f>
        <v/>
      </c>
      <c r="D249" t="str">
        <f>(IF(削除番明[[#This Row],[請求種別]]="2",(LEFT(billid237,10)),billid237))&amp;""</f>
        <v/>
      </c>
      <c r="E249" t="str">
        <f>UPPER(SUBSTITUTE(削除番明[[#This Row],[ご請求番号]],"-",""))</f>
        <v/>
      </c>
      <c r="F249" s="129" t="str">
        <f>keiyakuid237&amp;""</f>
        <v/>
      </c>
      <c r="G249" s="129"/>
      <c r="H249" s="129"/>
      <c r="I249" s="129"/>
      <c r="J249" s="129"/>
      <c r="K249" s="129" t="str">
        <f>belugabun237&amp;""</f>
        <v/>
      </c>
      <c r="L249" t="b">
        <f>IF(oldbillingStationCustomerNumberOnly="",FALSE,shutoku237)</f>
        <v>0</v>
      </c>
    </row>
    <row r="250" spans="1:12">
      <c r="A250">
        <v>238</v>
      </c>
      <c r="B250" t="s">
        <v>70</v>
      </c>
      <c r="C250" t="str">
        <f>shubetsu238&amp;""</f>
        <v/>
      </c>
      <c r="D250" t="str">
        <f>(IF(削除番明[[#This Row],[請求種別]]="2",(LEFT(billid238,10)),billid238))&amp;""</f>
        <v/>
      </c>
      <c r="E250" t="str">
        <f>UPPER(SUBSTITUTE(削除番明[[#This Row],[ご請求番号]],"-",""))</f>
        <v/>
      </c>
      <c r="F250" s="129" t="str">
        <f>keiyakuid238&amp;""</f>
        <v/>
      </c>
      <c r="G250" s="129"/>
      <c r="H250" s="129"/>
      <c r="I250" s="129"/>
      <c r="J250" s="129"/>
      <c r="K250" s="129" t="str">
        <f>belugabun238&amp;""</f>
        <v/>
      </c>
      <c r="L250" t="b">
        <f>IF(oldbillingStationCustomerNumberOnly="",FALSE,shutoku238)</f>
        <v>0</v>
      </c>
    </row>
    <row r="251" spans="1:12">
      <c r="A251">
        <v>239</v>
      </c>
      <c r="B251" t="s">
        <v>70</v>
      </c>
      <c r="C251" t="str">
        <f>shubetsu239&amp;""</f>
        <v/>
      </c>
      <c r="D251" t="str">
        <f>(IF(削除番明[[#This Row],[請求種別]]="2",(LEFT(billid239,10)),billid239))&amp;""</f>
        <v/>
      </c>
      <c r="E251" t="str">
        <f>UPPER(SUBSTITUTE(削除番明[[#This Row],[ご請求番号]],"-",""))</f>
        <v/>
      </c>
      <c r="F251" s="129" t="str">
        <f>keiyakuid239&amp;""</f>
        <v/>
      </c>
      <c r="G251" s="129"/>
      <c r="H251" s="129"/>
      <c r="I251" s="129"/>
      <c r="J251" s="129"/>
      <c r="K251" s="129" t="str">
        <f>belugabun239&amp;""</f>
        <v/>
      </c>
      <c r="L251" t="b">
        <f>IF(oldbillingStationCustomerNumberOnly="",FALSE,shutoku239)</f>
        <v>0</v>
      </c>
    </row>
    <row r="252" spans="1:12">
      <c r="A252">
        <v>240</v>
      </c>
      <c r="B252" t="s">
        <v>70</v>
      </c>
      <c r="C252" t="str">
        <f>shubetsu240&amp;""</f>
        <v/>
      </c>
      <c r="D252" t="str">
        <f>(IF(削除番明[[#This Row],[請求種別]]="2",(LEFT(billid240,10)),billid240))&amp;""</f>
        <v/>
      </c>
      <c r="E252" t="str">
        <f>UPPER(SUBSTITUTE(削除番明[[#This Row],[ご請求番号]],"-",""))</f>
        <v/>
      </c>
      <c r="F252" s="129" t="str">
        <f>keiyakuid240&amp;""</f>
        <v/>
      </c>
      <c r="G252" s="129"/>
      <c r="H252" s="129"/>
      <c r="I252" s="129"/>
      <c r="J252" s="129"/>
      <c r="K252" s="129" t="str">
        <f>belugabun240&amp;""</f>
        <v/>
      </c>
      <c r="L252" t="b">
        <f>IF(oldbillingStationCustomerNumberOnly="",FALSE,shutoku240)</f>
        <v>0</v>
      </c>
    </row>
    <row r="253" spans="1:12">
      <c r="A253">
        <v>241</v>
      </c>
      <c r="B253" t="s">
        <v>70</v>
      </c>
      <c r="C253" t="str">
        <f>shubetsu241&amp;""</f>
        <v/>
      </c>
      <c r="D253" t="str">
        <f>(IF(削除番明[[#This Row],[請求種別]]="2",(LEFT(billid241,10)),billid241))&amp;""</f>
        <v/>
      </c>
      <c r="E253" t="str">
        <f>UPPER(SUBSTITUTE(削除番明[[#This Row],[ご請求番号]],"-",""))</f>
        <v/>
      </c>
      <c r="F253" s="129" t="str">
        <f>keiyakuid241&amp;""</f>
        <v/>
      </c>
      <c r="G253" s="129"/>
      <c r="H253" s="129"/>
      <c r="I253" s="129"/>
      <c r="J253" s="129"/>
      <c r="K253" s="129" t="str">
        <f>belugabun241&amp;""</f>
        <v/>
      </c>
      <c r="L253" t="b">
        <f>IF(oldbillingStationCustomerNumberOnly="",FALSE,shutoku241)</f>
        <v>0</v>
      </c>
    </row>
    <row r="254" spans="1:12">
      <c r="A254">
        <v>242</v>
      </c>
      <c r="B254" t="s">
        <v>70</v>
      </c>
      <c r="C254" t="str">
        <f>shubetsu242&amp;""</f>
        <v/>
      </c>
      <c r="D254" t="str">
        <f>(IF(削除番明[[#This Row],[請求種別]]="2",(LEFT(billid242,10)),billid242))&amp;""</f>
        <v/>
      </c>
      <c r="E254" t="str">
        <f>UPPER(SUBSTITUTE(削除番明[[#This Row],[ご請求番号]],"-",""))</f>
        <v/>
      </c>
      <c r="F254" s="129" t="str">
        <f>keiyakuid242&amp;""</f>
        <v/>
      </c>
      <c r="G254" s="129"/>
      <c r="H254" s="129"/>
      <c r="I254" s="129"/>
      <c r="J254" s="129"/>
      <c r="K254" s="129" t="str">
        <f>belugabun242&amp;""</f>
        <v/>
      </c>
      <c r="L254" t="b">
        <f>IF(oldbillingStationCustomerNumberOnly="",FALSE,shutoku242)</f>
        <v>0</v>
      </c>
    </row>
    <row r="255" spans="1:12">
      <c r="A255">
        <v>243</v>
      </c>
      <c r="B255" t="s">
        <v>70</v>
      </c>
      <c r="C255" t="str">
        <f>shubetsu243&amp;""</f>
        <v/>
      </c>
      <c r="D255" t="str">
        <f>(IF(削除番明[[#This Row],[請求種別]]="2",(LEFT(billid243,10)),billid243))&amp;""</f>
        <v/>
      </c>
      <c r="E255" t="str">
        <f>UPPER(SUBSTITUTE(削除番明[[#This Row],[ご請求番号]],"-",""))</f>
        <v/>
      </c>
      <c r="F255" s="129" t="str">
        <f>keiyakuid243&amp;""</f>
        <v/>
      </c>
      <c r="G255" s="129"/>
      <c r="H255" s="129"/>
      <c r="I255" s="129"/>
      <c r="J255" s="129"/>
      <c r="K255" s="129" t="str">
        <f>belugabun243&amp;""</f>
        <v/>
      </c>
      <c r="L255" t="b">
        <f>IF(oldbillingStationCustomerNumberOnly="",FALSE,shutoku243)</f>
        <v>0</v>
      </c>
    </row>
    <row r="256" spans="1:12">
      <c r="A256">
        <v>244</v>
      </c>
      <c r="B256" t="s">
        <v>70</v>
      </c>
      <c r="C256" t="str">
        <f>shubetsu244&amp;""</f>
        <v/>
      </c>
      <c r="D256" t="str">
        <f>(IF(削除番明[[#This Row],[請求種別]]="2",(LEFT(billid244,10)),billid244))&amp;""</f>
        <v/>
      </c>
      <c r="E256" t="str">
        <f>UPPER(SUBSTITUTE(削除番明[[#This Row],[ご請求番号]],"-",""))</f>
        <v/>
      </c>
      <c r="F256" s="129" t="str">
        <f>keiyakuid244&amp;""</f>
        <v/>
      </c>
      <c r="G256" s="129"/>
      <c r="H256" s="129"/>
      <c r="I256" s="129"/>
      <c r="J256" s="129"/>
      <c r="K256" s="129" t="str">
        <f>belugabun244&amp;""</f>
        <v/>
      </c>
      <c r="L256" t="b">
        <f>IF(oldbillingStationCustomerNumberOnly="",FALSE,shutoku244)</f>
        <v>0</v>
      </c>
    </row>
    <row r="257" spans="1:12">
      <c r="A257">
        <v>245</v>
      </c>
      <c r="B257" t="s">
        <v>70</v>
      </c>
      <c r="C257" t="str">
        <f>shubetsu245&amp;""</f>
        <v/>
      </c>
      <c r="D257" t="str">
        <f>(IF(削除番明[[#This Row],[請求種別]]="2",(LEFT(billid245,10)),billid245))&amp;""</f>
        <v/>
      </c>
      <c r="E257" t="str">
        <f>UPPER(SUBSTITUTE(削除番明[[#This Row],[ご請求番号]],"-",""))</f>
        <v/>
      </c>
      <c r="F257" s="129" t="str">
        <f>keiyakuid245&amp;""</f>
        <v/>
      </c>
      <c r="G257" s="129"/>
      <c r="H257" s="129"/>
      <c r="I257" s="129"/>
      <c r="J257" s="129"/>
      <c r="K257" s="129" t="str">
        <f>belugabun245&amp;""</f>
        <v/>
      </c>
      <c r="L257" t="b">
        <f>IF(oldbillingStationCustomerNumberOnly="",FALSE,shutoku245)</f>
        <v>0</v>
      </c>
    </row>
    <row r="258" spans="1:12">
      <c r="A258">
        <v>246</v>
      </c>
      <c r="B258" t="s">
        <v>70</v>
      </c>
      <c r="C258" t="str">
        <f>shubetsu246&amp;""</f>
        <v/>
      </c>
      <c r="D258" t="str">
        <f>(IF(削除番明[[#This Row],[請求種別]]="2",(LEFT(billid246,10)),billid246))&amp;""</f>
        <v/>
      </c>
      <c r="E258" t="str">
        <f>UPPER(SUBSTITUTE(削除番明[[#This Row],[ご請求番号]],"-",""))</f>
        <v/>
      </c>
      <c r="F258" s="129" t="str">
        <f>keiyakuid246&amp;""</f>
        <v/>
      </c>
      <c r="G258" s="129"/>
      <c r="H258" s="129"/>
      <c r="I258" s="129"/>
      <c r="J258" s="129"/>
      <c r="K258" s="129" t="str">
        <f>belugabun246&amp;""</f>
        <v/>
      </c>
      <c r="L258" t="b">
        <f>IF(oldbillingStationCustomerNumberOnly="",FALSE,shutoku246)</f>
        <v>0</v>
      </c>
    </row>
    <row r="259" spans="1:12">
      <c r="A259">
        <v>247</v>
      </c>
      <c r="B259" t="s">
        <v>70</v>
      </c>
      <c r="C259" t="str">
        <f>shubetsu247&amp;""</f>
        <v/>
      </c>
      <c r="D259" t="str">
        <f>(IF(削除番明[[#This Row],[請求種別]]="2",(LEFT(billid247,10)),billid247))&amp;""</f>
        <v/>
      </c>
      <c r="E259" t="str">
        <f>UPPER(SUBSTITUTE(削除番明[[#This Row],[ご請求番号]],"-",""))</f>
        <v/>
      </c>
      <c r="F259" s="129" t="str">
        <f>keiyakuid247&amp;""</f>
        <v/>
      </c>
      <c r="G259" s="129"/>
      <c r="H259" s="129"/>
      <c r="I259" s="129"/>
      <c r="J259" s="129"/>
      <c r="K259" s="129" t="str">
        <f>belugabun247&amp;""</f>
        <v/>
      </c>
      <c r="L259" t="b">
        <f>IF(oldbillingStationCustomerNumberOnly="",FALSE,shutoku247)</f>
        <v>0</v>
      </c>
    </row>
    <row r="260" spans="1:12">
      <c r="A260">
        <v>248</v>
      </c>
      <c r="B260" t="s">
        <v>70</v>
      </c>
      <c r="C260" t="str">
        <f>shubetsu248&amp;""</f>
        <v/>
      </c>
      <c r="D260" t="str">
        <f>(IF(削除番明[[#This Row],[請求種別]]="2",(LEFT(billid248,10)),billid248))&amp;""</f>
        <v/>
      </c>
      <c r="E260" t="str">
        <f>UPPER(SUBSTITUTE(削除番明[[#This Row],[ご請求番号]],"-",""))</f>
        <v/>
      </c>
      <c r="F260" s="129" t="str">
        <f>keiyakuid248&amp;""</f>
        <v/>
      </c>
      <c r="G260" s="129"/>
      <c r="H260" s="129"/>
      <c r="I260" s="129"/>
      <c r="J260" s="129"/>
      <c r="K260" s="129" t="str">
        <f>belugabun248&amp;""</f>
        <v/>
      </c>
      <c r="L260" t="b">
        <f>IF(oldbillingStationCustomerNumberOnly="",FALSE,shutoku248)</f>
        <v>0</v>
      </c>
    </row>
    <row r="261" spans="1:12">
      <c r="A261">
        <v>249</v>
      </c>
      <c r="B261" t="s">
        <v>70</v>
      </c>
      <c r="C261" t="str">
        <f>shubetsu249&amp;""</f>
        <v/>
      </c>
      <c r="D261" t="str">
        <f>(IF(削除番明[[#This Row],[請求種別]]="2",(LEFT(billid249,10)),billid249))&amp;""</f>
        <v/>
      </c>
      <c r="E261" t="str">
        <f>UPPER(SUBSTITUTE(削除番明[[#This Row],[ご請求番号]],"-",""))</f>
        <v/>
      </c>
      <c r="F261" s="129" t="str">
        <f>keiyakuid249&amp;""</f>
        <v/>
      </c>
      <c r="G261" s="129"/>
      <c r="H261" s="129"/>
      <c r="I261" s="129"/>
      <c r="J261" s="129"/>
      <c r="K261" s="129" t="str">
        <f>belugabun249&amp;""</f>
        <v/>
      </c>
      <c r="L261" t="b">
        <f>IF(oldbillingStationCustomerNumberOnly="",FALSE,shutoku249)</f>
        <v>0</v>
      </c>
    </row>
    <row r="262" spans="1:12">
      <c r="A262">
        <v>250</v>
      </c>
      <c r="B262" t="s">
        <v>70</v>
      </c>
      <c r="C262" t="str">
        <f>shubetsu250&amp;""</f>
        <v/>
      </c>
      <c r="D262" t="str">
        <f>(IF(削除番明[[#This Row],[請求種別]]="2",(LEFT(billid250,10)),billid250))&amp;""</f>
        <v/>
      </c>
      <c r="E262" t="str">
        <f>UPPER(SUBSTITUTE(削除番明[[#This Row],[ご請求番号]],"-",""))</f>
        <v/>
      </c>
      <c r="F262" s="129" t="str">
        <f>keiyakuid250&amp;""</f>
        <v/>
      </c>
      <c r="G262" s="129"/>
      <c r="H262" s="129"/>
      <c r="I262" s="129"/>
      <c r="J262" s="129"/>
      <c r="K262" s="129" t="str">
        <f>belugabun250&amp;""</f>
        <v/>
      </c>
      <c r="L262" t="b">
        <f>IF(oldbillingStationCustomerNumberOnly="",FALSE,shutoku250)</f>
        <v>0</v>
      </c>
    </row>
    <row r="265" spans="1:12">
      <c r="A265" t="s">
        <v>199</v>
      </c>
      <c r="F265" s="7" t="s">
        <v>208</v>
      </c>
      <c r="G265" s="7" t="s">
        <v>208</v>
      </c>
      <c r="H265" s="7" t="s">
        <v>208</v>
      </c>
      <c r="I265" s="7" t="s">
        <v>208</v>
      </c>
      <c r="J265" s="7" t="s">
        <v>208</v>
      </c>
      <c r="K265" s="7" t="s">
        <v>208</v>
      </c>
    </row>
    <row r="266" spans="1:12">
      <c r="A266" t="s">
        <v>84</v>
      </c>
      <c r="B266" t="s">
        <v>128</v>
      </c>
      <c r="C266" t="s">
        <v>129</v>
      </c>
      <c r="D266" t="s">
        <v>130</v>
      </c>
      <c r="E266" t="s">
        <v>131</v>
      </c>
      <c r="F266" t="s">
        <v>132</v>
      </c>
      <c r="G266" t="s">
        <v>133</v>
      </c>
      <c r="H266" t="s">
        <v>134</v>
      </c>
      <c r="I266" t="s">
        <v>135</v>
      </c>
      <c r="J266" t="s">
        <v>136</v>
      </c>
      <c r="K266" t="s">
        <v>137</v>
      </c>
      <c r="L266" t="s">
        <v>138</v>
      </c>
    </row>
    <row r="267" spans="1:12">
      <c r="A267">
        <v>1</v>
      </c>
      <c r="B267" t="s">
        <v>69</v>
      </c>
      <c r="C267" t="str">
        <f>shubetsu001&amp;""</f>
        <v/>
      </c>
      <c r="D267" t="str">
        <f>(IF(追加番明[[#This Row],[請求種別]]="2",(LEFT(billid001,10)),billid001))&amp;""</f>
        <v/>
      </c>
      <c r="E267" t="str">
        <f>UPPER(SUBSTITUTE(追加番明[[#This Row],[ご請求番号]],"-",""))</f>
        <v/>
      </c>
      <c r="F267" s="129"/>
      <c r="G267" s="129"/>
      <c r="H267" s="129"/>
      <c r="I267" s="129"/>
      <c r="J267" s="129"/>
      <c r="K267" s="129"/>
      <c r="L267" t="b">
        <f>IF(newbillingStationCustomerNumberOnly="",FALSE,shutoku001)</f>
        <v>0</v>
      </c>
    </row>
    <row r="268" spans="1:12">
      <c r="A268">
        <v>2</v>
      </c>
      <c r="B268" t="s">
        <v>69</v>
      </c>
      <c r="C268" t="str">
        <f>shubetsu002&amp;""</f>
        <v/>
      </c>
      <c r="D268" t="str">
        <f>(IF(追加番明[[#This Row],[請求種別]]="2",(LEFT(billid002,10)),billid002))&amp;""</f>
        <v/>
      </c>
      <c r="E268" t="str">
        <f>UPPER(SUBSTITUTE(追加番明[[#This Row],[ご請求番号]],"-",""))</f>
        <v/>
      </c>
      <c r="F268" s="129"/>
      <c r="G268" s="129"/>
      <c r="H268" s="129"/>
      <c r="I268" s="129"/>
      <c r="J268" s="129"/>
      <c r="K268" s="129"/>
      <c r="L268" t="b">
        <f>IF(newbillingStationCustomerNumberOnly="",FALSE,shutoku002)</f>
        <v>0</v>
      </c>
    </row>
    <row r="269" spans="1:12">
      <c r="A269">
        <v>3</v>
      </c>
      <c r="B269" t="s">
        <v>69</v>
      </c>
      <c r="C269" t="str">
        <f>shubetsu003&amp;""</f>
        <v/>
      </c>
      <c r="D269" t="str">
        <f>(IF(追加番明[[#This Row],[請求種別]]="2",(LEFT(billid003,10)),billid003))&amp;""</f>
        <v/>
      </c>
      <c r="E269" t="str">
        <f>UPPER(SUBSTITUTE(追加番明[[#This Row],[ご請求番号]],"-",""))</f>
        <v/>
      </c>
      <c r="F269" s="129"/>
      <c r="G269" s="129"/>
      <c r="H269" s="129"/>
      <c r="I269" s="129"/>
      <c r="J269" s="129"/>
      <c r="K269" s="129"/>
      <c r="L269" t="b">
        <f>IF(newbillingStationCustomerNumberOnly="",FALSE,shutoku003)</f>
        <v>0</v>
      </c>
    </row>
    <row r="270" spans="1:12">
      <c r="A270">
        <v>4</v>
      </c>
      <c r="B270" t="s">
        <v>69</v>
      </c>
      <c r="C270" t="str">
        <f>shubetsu004&amp;""</f>
        <v/>
      </c>
      <c r="D270" t="str">
        <f>(IF(追加番明[[#This Row],[請求種別]]="2",(LEFT(billid004,10)),billid004))&amp;""</f>
        <v/>
      </c>
      <c r="E270" t="str">
        <f>UPPER(SUBSTITUTE(追加番明[[#This Row],[ご請求番号]],"-",""))</f>
        <v/>
      </c>
      <c r="F270" s="129"/>
      <c r="G270" s="129"/>
      <c r="H270" s="129"/>
      <c r="I270" s="129"/>
      <c r="J270" s="129"/>
      <c r="K270" s="129"/>
      <c r="L270" t="b">
        <f>IF(newbillingStationCustomerNumberOnly="",FALSE,shutoku004)</f>
        <v>0</v>
      </c>
    </row>
    <row r="271" spans="1:12">
      <c r="A271">
        <v>5</v>
      </c>
      <c r="B271" t="s">
        <v>69</v>
      </c>
      <c r="C271" t="str">
        <f>shubetsu005&amp;""</f>
        <v/>
      </c>
      <c r="D271" t="str">
        <f>(IF(追加番明[[#This Row],[請求種別]]="2",(LEFT(billid005,10)),billid005))&amp;""</f>
        <v/>
      </c>
      <c r="E271" t="str">
        <f>UPPER(SUBSTITUTE(追加番明[[#This Row],[ご請求番号]],"-",""))</f>
        <v/>
      </c>
      <c r="F271" s="129"/>
      <c r="G271" s="129"/>
      <c r="H271" s="129"/>
      <c r="I271" s="129"/>
      <c r="J271" s="129"/>
      <c r="K271" s="129"/>
      <c r="L271" t="b">
        <f>IF(newbillingStationCustomerNumberOnly="",FALSE,shutoku005)</f>
        <v>0</v>
      </c>
    </row>
    <row r="272" spans="1:12">
      <c r="A272">
        <v>6</v>
      </c>
      <c r="B272" t="s">
        <v>69</v>
      </c>
      <c r="C272" t="str">
        <f>shubetsu006&amp;""</f>
        <v/>
      </c>
      <c r="D272" t="str">
        <f>(IF(追加番明[[#This Row],[請求種別]]="2",(LEFT(billid006,10)),billid006))&amp;""</f>
        <v/>
      </c>
      <c r="E272" t="str">
        <f>UPPER(SUBSTITUTE(追加番明[[#This Row],[ご請求番号]],"-",""))</f>
        <v/>
      </c>
      <c r="F272" s="129"/>
      <c r="G272" s="129"/>
      <c r="H272" s="129"/>
      <c r="I272" s="129"/>
      <c r="J272" s="129"/>
      <c r="K272" s="129"/>
      <c r="L272" t="b">
        <f>IF(newbillingStationCustomerNumberOnly="",FALSE,shutoku006)</f>
        <v>0</v>
      </c>
    </row>
    <row r="273" spans="1:12">
      <c r="A273">
        <v>7</v>
      </c>
      <c r="B273" t="s">
        <v>69</v>
      </c>
      <c r="C273" t="str">
        <f>shubetsu007&amp;""</f>
        <v/>
      </c>
      <c r="D273" t="str">
        <f>(IF(追加番明[[#This Row],[請求種別]]="2",(LEFT(billid007,10)),billid007))&amp;""</f>
        <v/>
      </c>
      <c r="E273" t="str">
        <f>UPPER(SUBSTITUTE(追加番明[[#This Row],[ご請求番号]],"-",""))</f>
        <v/>
      </c>
      <c r="F273" s="129"/>
      <c r="G273" s="129"/>
      <c r="H273" s="129"/>
      <c r="I273" s="129"/>
      <c r="J273" s="129"/>
      <c r="K273" s="129"/>
      <c r="L273" t="b">
        <f>IF(newbillingStationCustomerNumberOnly="",FALSE,shutoku007)</f>
        <v>0</v>
      </c>
    </row>
    <row r="274" spans="1:12">
      <c r="A274">
        <v>8</v>
      </c>
      <c r="B274" t="s">
        <v>69</v>
      </c>
      <c r="C274" t="str">
        <f>shubetsu008&amp;""</f>
        <v/>
      </c>
      <c r="D274" t="str">
        <f>(IF(追加番明[[#This Row],[請求種別]]="2",(LEFT(billid008,10)),billid008))&amp;""</f>
        <v/>
      </c>
      <c r="E274" t="str">
        <f>UPPER(SUBSTITUTE(追加番明[[#This Row],[ご請求番号]],"-",""))</f>
        <v/>
      </c>
      <c r="F274" s="129"/>
      <c r="G274" s="129"/>
      <c r="H274" s="129"/>
      <c r="I274" s="129"/>
      <c r="J274" s="129"/>
      <c r="K274" s="129"/>
      <c r="L274" t="b">
        <f>IF(newbillingStationCustomerNumberOnly="",FALSE,shutoku008)</f>
        <v>0</v>
      </c>
    </row>
    <row r="275" spans="1:12">
      <c r="A275">
        <v>9</v>
      </c>
      <c r="B275" t="s">
        <v>69</v>
      </c>
      <c r="C275" t="str">
        <f>shubetsu009&amp;""</f>
        <v/>
      </c>
      <c r="D275" t="str">
        <f>(IF(追加番明[[#This Row],[請求種別]]="2",(LEFT(billid009,10)),billid009))&amp;""</f>
        <v/>
      </c>
      <c r="E275" t="str">
        <f>UPPER(SUBSTITUTE(追加番明[[#This Row],[ご請求番号]],"-",""))</f>
        <v/>
      </c>
      <c r="F275" s="129"/>
      <c r="G275" s="129"/>
      <c r="H275" s="129"/>
      <c r="I275" s="129"/>
      <c r="J275" s="129"/>
      <c r="K275" s="129"/>
      <c r="L275" t="b">
        <f>IF(newbillingStationCustomerNumberOnly="",FALSE,shutoku009)</f>
        <v>0</v>
      </c>
    </row>
    <row r="276" spans="1:12">
      <c r="A276">
        <v>10</v>
      </c>
      <c r="B276" t="s">
        <v>69</v>
      </c>
      <c r="C276" t="str">
        <f>shubetsu010&amp;""</f>
        <v/>
      </c>
      <c r="D276" t="str">
        <f>(IF(追加番明[[#This Row],[請求種別]]="2",(LEFT(billid010,10)),billid010))&amp;""</f>
        <v/>
      </c>
      <c r="E276" t="str">
        <f>UPPER(SUBSTITUTE(追加番明[[#This Row],[ご請求番号]],"-",""))</f>
        <v/>
      </c>
      <c r="F276" s="129"/>
      <c r="G276" s="129"/>
      <c r="H276" s="129"/>
      <c r="I276" s="129"/>
      <c r="J276" s="129"/>
      <c r="K276" s="129"/>
      <c r="L276" t="b">
        <f>IF(newbillingStationCustomerNumberOnly="",FALSE,shutoku010)</f>
        <v>0</v>
      </c>
    </row>
    <row r="277" spans="1:12">
      <c r="A277">
        <v>11</v>
      </c>
      <c r="B277" t="s">
        <v>69</v>
      </c>
      <c r="C277" t="str">
        <f>shubetsu011&amp;""</f>
        <v/>
      </c>
      <c r="D277" t="str">
        <f>(IF(追加番明[[#This Row],[請求種別]]="2",(LEFT(billid011,10)),billid011))&amp;""</f>
        <v/>
      </c>
      <c r="E277" t="str">
        <f>UPPER(SUBSTITUTE(追加番明[[#This Row],[ご請求番号]],"-",""))</f>
        <v/>
      </c>
      <c r="F277" s="129"/>
      <c r="G277" s="129"/>
      <c r="H277" s="129"/>
      <c r="I277" s="129"/>
      <c r="J277" s="129"/>
      <c r="K277" s="129"/>
      <c r="L277" t="b">
        <f>IF(newbillingStationCustomerNumberOnly="",FALSE,shutoku011)</f>
        <v>0</v>
      </c>
    </row>
    <row r="278" spans="1:12">
      <c r="A278">
        <v>12</v>
      </c>
      <c r="B278" t="s">
        <v>69</v>
      </c>
      <c r="C278" t="str">
        <f>shubetsu012&amp;""</f>
        <v/>
      </c>
      <c r="D278" t="str">
        <f>(IF(追加番明[[#This Row],[請求種別]]="2",(LEFT(billid012,10)),billid012))&amp;""</f>
        <v/>
      </c>
      <c r="E278" t="str">
        <f>UPPER(SUBSTITUTE(追加番明[[#This Row],[ご請求番号]],"-",""))</f>
        <v/>
      </c>
      <c r="F278" s="129"/>
      <c r="G278" s="129"/>
      <c r="H278" s="129"/>
      <c r="I278" s="129"/>
      <c r="J278" s="129"/>
      <c r="K278" s="129"/>
      <c r="L278" t="b">
        <f>IF(newbillingStationCustomerNumberOnly="",FALSE,shutoku012)</f>
        <v>0</v>
      </c>
    </row>
    <row r="279" spans="1:12">
      <c r="A279">
        <v>13</v>
      </c>
      <c r="B279" t="s">
        <v>69</v>
      </c>
      <c r="C279" t="str">
        <f>shubetsu013&amp;""</f>
        <v/>
      </c>
      <c r="D279" t="str">
        <f>(IF(追加番明[[#This Row],[請求種別]]="2",(LEFT(billid013,10)),billid013))&amp;""</f>
        <v/>
      </c>
      <c r="E279" t="str">
        <f>UPPER(SUBSTITUTE(追加番明[[#This Row],[ご請求番号]],"-",""))</f>
        <v/>
      </c>
      <c r="F279" s="129"/>
      <c r="G279" s="129"/>
      <c r="H279" s="129"/>
      <c r="I279" s="129"/>
      <c r="J279" s="129"/>
      <c r="K279" s="129"/>
      <c r="L279" t="b">
        <f>IF(newbillingStationCustomerNumberOnly="",FALSE,shutoku013)</f>
        <v>0</v>
      </c>
    </row>
    <row r="280" spans="1:12">
      <c r="A280">
        <v>14</v>
      </c>
      <c r="B280" t="s">
        <v>69</v>
      </c>
      <c r="C280" t="str">
        <f>shubetsu014&amp;""</f>
        <v/>
      </c>
      <c r="D280" t="str">
        <f>(IF(追加番明[[#This Row],[請求種別]]="2",(LEFT(billid014,10)),billid014))&amp;""</f>
        <v/>
      </c>
      <c r="E280" t="str">
        <f>UPPER(SUBSTITUTE(追加番明[[#This Row],[ご請求番号]],"-",""))</f>
        <v/>
      </c>
      <c r="F280" s="129"/>
      <c r="G280" s="129"/>
      <c r="H280" s="129"/>
      <c r="I280" s="129"/>
      <c r="J280" s="129"/>
      <c r="K280" s="129"/>
      <c r="L280" t="b">
        <f>IF(newbillingStationCustomerNumberOnly="",FALSE,shutoku014)</f>
        <v>0</v>
      </c>
    </row>
    <row r="281" spans="1:12">
      <c r="A281">
        <v>15</v>
      </c>
      <c r="B281" t="s">
        <v>69</v>
      </c>
      <c r="C281" t="str">
        <f>shubetsu015&amp;""</f>
        <v/>
      </c>
      <c r="D281" t="str">
        <f>(IF(追加番明[[#This Row],[請求種別]]="2",(LEFT(billid015,10)),billid015))&amp;""</f>
        <v/>
      </c>
      <c r="E281" t="str">
        <f>UPPER(SUBSTITUTE(追加番明[[#This Row],[ご請求番号]],"-",""))</f>
        <v/>
      </c>
      <c r="F281" s="129"/>
      <c r="G281" s="129"/>
      <c r="H281" s="129"/>
      <c r="I281" s="129"/>
      <c r="J281" s="129"/>
      <c r="K281" s="129"/>
      <c r="L281" t="b">
        <f>IF(newbillingStationCustomerNumberOnly="",FALSE,shutoku015)</f>
        <v>0</v>
      </c>
    </row>
    <row r="282" spans="1:12">
      <c r="A282">
        <v>16</v>
      </c>
      <c r="B282" t="s">
        <v>69</v>
      </c>
      <c r="C282" t="str">
        <f>shubetsu016&amp;""</f>
        <v/>
      </c>
      <c r="D282" t="str">
        <f>(IF(追加番明[[#This Row],[請求種別]]="2",(LEFT(billid016,10)),billid016))&amp;""</f>
        <v/>
      </c>
      <c r="E282" t="str">
        <f>UPPER(SUBSTITUTE(追加番明[[#This Row],[ご請求番号]],"-",""))</f>
        <v/>
      </c>
      <c r="F282" s="129"/>
      <c r="G282" s="129"/>
      <c r="H282" s="129"/>
      <c r="I282" s="129"/>
      <c r="J282" s="129"/>
      <c r="K282" s="129"/>
      <c r="L282" t="b">
        <f>IF(newbillingStationCustomerNumberOnly="",FALSE,shutoku016)</f>
        <v>0</v>
      </c>
    </row>
    <row r="283" spans="1:12">
      <c r="A283">
        <v>17</v>
      </c>
      <c r="B283" t="s">
        <v>69</v>
      </c>
      <c r="C283" t="str">
        <f>shubetsu017&amp;""</f>
        <v/>
      </c>
      <c r="D283" t="str">
        <f>(IF(追加番明[[#This Row],[請求種別]]="2",(LEFT(billid017,10)),billid017))&amp;""</f>
        <v/>
      </c>
      <c r="E283" t="str">
        <f>UPPER(SUBSTITUTE(追加番明[[#This Row],[ご請求番号]],"-",""))</f>
        <v/>
      </c>
      <c r="F283" s="129"/>
      <c r="G283" s="129"/>
      <c r="H283" s="129"/>
      <c r="I283" s="129"/>
      <c r="J283" s="129"/>
      <c r="K283" s="129"/>
      <c r="L283" t="b">
        <f>IF(newbillingStationCustomerNumberOnly="",FALSE,shutoku017)</f>
        <v>0</v>
      </c>
    </row>
    <row r="284" spans="1:12">
      <c r="A284">
        <v>18</v>
      </c>
      <c r="B284" t="s">
        <v>69</v>
      </c>
      <c r="C284" t="str">
        <f>shubetsu018&amp;""</f>
        <v/>
      </c>
      <c r="D284" t="str">
        <f>(IF(追加番明[[#This Row],[請求種別]]="2",(LEFT(billid018,10)),billid018))&amp;""</f>
        <v/>
      </c>
      <c r="E284" t="str">
        <f>UPPER(SUBSTITUTE(追加番明[[#This Row],[ご請求番号]],"-",""))</f>
        <v/>
      </c>
      <c r="F284" s="129"/>
      <c r="G284" s="129"/>
      <c r="H284" s="129"/>
      <c r="I284" s="129"/>
      <c r="J284" s="129"/>
      <c r="K284" s="129"/>
      <c r="L284" t="b">
        <f>IF(newbillingStationCustomerNumberOnly="",FALSE,shutoku018)</f>
        <v>0</v>
      </c>
    </row>
    <row r="285" spans="1:12">
      <c r="A285">
        <v>19</v>
      </c>
      <c r="B285" t="s">
        <v>69</v>
      </c>
      <c r="C285" t="str">
        <f>shubetsu019&amp;""</f>
        <v/>
      </c>
      <c r="D285" t="str">
        <f>(IF(追加番明[[#This Row],[請求種別]]="2",(LEFT(billid019,10)),billid019))&amp;""</f>
        <v/>
      </c>
      <c r="E285" t="str">
        <f>UPPER(SUBSTITUTE(追加番明[[#This Row],[ご請求番号]],"-",""))</f>
        <v/>
      </c>
      <c r="F285" s="129"/>
      <c r="G285" s="129"/>
      <c r="H285" s="129"/>
      <c r="I285" s="129"/>
      <c r="J285" s="129"/>
      <c r="K285" s="129"/>
      <c r="L285" t="b">
        <f>IF(newbillingStationCustomerNumberOnly="",FALSE,shutoku019)</f>
        <v>0</v>
      </c>
    </row>
    <row r="286" spans="1:12">
      <c r="A286">
        <v>20</v>
      </c>
      <c r="B286" t="s">
        <v>69</v>
      </c>
      <c r="C286" t="str">
        <f>shubetsu020&amp;""</f>
        <v/>
      </c>
      <c r="D286" t="str">
        <f>(IF(追加番明[[#This Row],[請求種別]]="2",(LEFT(billid020,10)),billid020))&amp;""</f>
        <v/>
      </c>
      <c r="E286" t="str">
        <f>UPPER(SUBSTITUTE(追加番明[[#This Row],[ご請求番号]],"-",""))</f>
        <v/>
      </c>
      <c r="F286" s="129"/>
      <c r="G286" s="129"/>
      <c r="H286" s="129"/>
      <c r="I286" s="129"/>
      <c r="J286" s="129"/>
      <c r="K286" s="129"/>
      <c r="L286" t="b">
        <f>IF(newbillingStationCustomerNumberOnly="",FALSE,shutoku020)</f>
        <v>0</v>
      </c>
    </row>
    <row r="287" spans="1:12">
      <c r="A287">
        <v>21</v>
      </c>
      <c r="B287" t="s">
        <v>69</v>
      </c>
      <c r="C287" t="str">
        <f>shubetsu021&amp;""</f>
        <v/>
      </c>
      <c r="D287" t="str">
        <f>(IF(追加番明[[#This Row],[請求種別]]="2",(LEFT(billid021,10)),billid021))&amp;""</f>
        <v/>
      </c>
      <c r="E287" t="str">
        <f>UPPER(SUBSTITUTE(追加番明[[#This Row],[ご請求番号]],"-",""))</f>
        <v/>
      </c>
      <c r="F287" s="129"/>
      <c r="G287" s="129"/>
      <c r="H287" s="129"/>
      <c r="I287" s="129"/>
      <c r="J287" s="129"/>
      <c r="K287" s="129"/>
      <c r="L287" t="b">
        <f>IF(newbillingStationCustomerNumberOnly="",FALSE,shutoku021)</f>
        <v>0</v>
      </c>
    </row>
    <row r="288" spans="1:12">
      <c r="A288">
        <v>22</v>
      </c>
      <c r="B288" t="s">
        <v>69</v>
      </c>
      <c r="C288" t="str">
        <f>shubetsu022&amp;""</f>
        <v/>
      </c>
      <c r="D288" t="str">
        <f>(IF(追加番明[[#This Row],[請求種別]]="2",(LEFT(billid022,10)),billid022))&amp;""</f>
        <v/>
      </c>
      <c r="E288" t="str">
        <f>UPPER(SUBSTITUTE(追加番明[[#This Row],[ご請求番号]],"-",""))</f>
        <v/>
      </c>
      <c r="F288" s="129"/>
      <c r="G288" s="129"/>
      <c r="H288" s="129"/>
      <c r="I288" s="129"/>
      <c r="J288" s="129"/>
      <c r="K288" s="129"/>
      <c r="L288" t="b">
        <f>IF(newbillingStationCustomerNumberOnly="",FALSE,shutoku022)</f>
        <v>0</v>
      </c>
    </row>
    <row r="289" spans="1:12">
      <c r="A289">
        <v>23</v>
      </c>
      <c r="B289" t="s">
        <v>69</v>
      </c>
      <c r="C289" t="str">
        <f>shubetsu023&amp;""</f>
        <v/>
      </c>
      <c r="D289" t="str">
        <f>(IF(追加番明[[#This Row],[請求種別]]="2",(LEFT(billid023,10)),billid023))&amp;""</f>
        <v/>
      </c>
      <c r="E289" t="str">
        <f>UPPER(SUBSTITUTE(追加番明[[#This Row],[ご請求番号]],"-",""))</f>
        <v/>
      </c>
      <c r="F289" s="129"/>
      <c r="G289" s="129"/>
      <c r="H289" s="129"/>
      <c r="I289" s="129"/>
      <c r="J289" s="129"/>
      <c r="K289" s="129"/>
      <c r="L289" t="b">
        <f>IF(newbillingStationCustomerNumberOnly="",FALSE,shutoku023)</f>
        <v>0</v>
      </c>
    </row>
    <row r="290" spans="1:12">
      <c r="A290">
        <v>24</v>
      </c>
      <c r="B290" t="s">
        <v>69</v>
      </c>
      <c r="C290" t="str">
        <f>shubetsu024&amp;""</f>
        <v/>
      </c>
      <c r="D290" t="str">
        <f>(IF(追加番明[[#This Row],[請求種別]]="2",(LEFT(billid024,10)),billid024))&amp;""</f>
        <v/>
      </c>
      <c r="E290" t="str">
        <f>UPPER(SUBSTITUTE(追加番明[[#This Row],[ご請求番号]],"-",""))</f>
        <v/>
      </c>
      <c r="F290" s="129"/>
      <c r="G290" s="129"/>
      <c r="H290" s="129"/>
      <c r="I290" s="129"/>
      <c r="J290" s="129"/>
      <c r="K290" s="129"/>
      <c r="L290" t="b">
        <f>IF(newbillingStationCustomerNumberOnly="",FALSE,shutoku024)</f>
        <v>0</v>
      </c>
    </row>
    <row r="291" spans="1:12">
      <c r="A291">
        <v>25</v>
      </c>
      <c r="B291" t="s">
        <v>69</v>
      </c>
      <c r="C291" t="str">
        <f>shubetsu025&amp;""</f>
        <v/>
      </c>
      <c r="D291" t="str">
        <f>(IF(追加番明[[#This Row],[請求種別]]="2",(LEFT(billid025,10)),billid025))&amp;""</f>
        <v/>
      </c>
      <c r="E291" t="str">
        <f>UPPER(SUBSTITUTE(追加番明[[#This Row],[ご請求番号]],"-",""))</f>
        <v/>
      </c>
      <c r="F291" s="129"/>
      <c r="G291" s="129"/>
      <c r="H291" s="129"/>
      <c r="I291" s="129"/>
      <c r="J291" s="129"/>
      <c r="K291" s="129"/>
      <c r="L291" t="b">
        <f>IF(newbillingStationCustomerNumberOnly="",FALSE,shutoku025)</f>
        <v>0</v>
      </c>
    </row>
    <row r="292" spans="1:12">
      <c r="A292">
        <v>26</v>
      </c>
      <c r="B292" t="s">
        <v>69</v>
      </c>
      <c r="C292" t="str">
        <f>shubetsu026&amp;""</f>
        <v/>
      </c>
      <c r="D292" t="str">
        <f>(IF(追加番明[[#This Row],[請求種別]]="2",(LEFT(billid026,10)),billid026))&amp;""</f>
        <v/>
      </c>
      <c r="E292" t="str">
        <f>UPPER(SUBSTITUTE(追加番明[[#This Row],[ご請求番号]],"-",""))</f>
        <v/>
      </c>
      <c r="F292" s="129"/>
      <c r="G292" s="129"/>
      <c r="H292" s="129"/>
      <c r="I292" s="129"/>
      <c r="J292" s="129"/>
      <c r="K292" s="129"/>
      <c r="L292" t="b">
        <f>IF(newbillingStationCustomerNumberOnly="",FALSE,shutoku026)</f>
        <v>0</v>
      </c>
    </row>
    <row r="293" spans="1:12">
      <c r="A293">
        <v>27</v>
      </c>
      <c r="B293" t="s">
        <v>69</v>
      </c>
      <c r="C293" t="str">
        <f>shubetsu027&amp;""</f>
        <v/>
      </c>
      <c r="D293" t="str">
        <f>(IF(追加番明[[#This Row],[請求種別]]="2",(LEFT(billid027,10)),billid027))&amp;""</f>
        <v/>
      </c>
      <c r="E293" t="str">
        <f>UPPER(SUBSTITUTE(追加番明[[#This Row],[ご請求番号]],"-",""))</f>
        <v/>
      </c>
      <c r="F293" s="129"/>
      <c r="G293" s="129"/>
      <c r="H293" s="129"/>
      <c r="I293" s="129"/>
      <c r="J293" s="129"/>
      <c r="K293" s="129"/>
      <c r="L293" t="b">
        <f>IF(newbillingStationCustomerNumberOnly="",FALSE,shutoku027)</f>
        <v>0</v>
      </c>
    </row>
    <row r="294" spans="1:12">
      <c r="A294">
        <v>28</v>
      </c>
      <c r="B294" t="s">
        <v>69</v>
      </c>
      <c r="C294" t="str">
        <f>shubetsu028&amp;""</f>
        <v/>
      </c>
      <c r="D294" t="str">
        <f>(IF(追加番明[[#This Row],[請求種別]]="2",(LEFT(billid028,10)),billid028))&amp;""</f>
        <v/>
      </c>
      <c r="E294" t="str">
        <f>UPPER(SUBSTITUTE(追加番明[[#This Row],[ご請求番号]],"-",""))</f>
        <v/>
      </c>
      <c r="F294" s="129"/>
      <c r="G294" s="129"/>
      <c r="H294" s="129"/>
      <c r="I294" s="129"/>
      <c r="J294" s="129"/>
      <c r="K294" s="129"/>
      <c r="L294" t="b">
        <f>IF(newbillingStationCustomerNumberOnly="",FALSE,shutoku028)</f>
        <v>0</v>
      </c>
    </row>
    <row r="295" spans="1:12">
      <c r="A295">
        <v>29</v>
      </c>
      <c r="B295" t="s">
        <v>69</v>
      </c>
      <c r="C295" t="str">
        <f>shubetsu029&amp;""</f>
        <v/>
      </c>
      <c r="D295" t="str">
        <f>(IF(追加番明[[#This Row],[請求種別]]="2",(LEFT(billid029,10)),billid029))&amp;""</f>
        <v/>
      </c>
      <c r="E295" t="str">
        <f>UPPER(SUBSTITUTE(追加番明[[#This Row],[ご請求番号]],"-",""))</f>
        <v/>
      </c>
      <c r="F295" s="129"/>
      <c r="G295" s="129"/>
      <c r="H295" s="129"/>
      <c r="I295" s="129"/>
      <c r="J295" s="129"/>
      <c r="K295" s="129"/>
      <c r="L295" t="b">
        <f>IF(newbillingStationCustomerNumberOnly="",FALSE,shutoku029)</f>
        <v>0</v>
      </c>
    </row>
    <row r="296" spans="1:12">
      <c r="A296">
        <v>30</v>
      </c>
      <c r="B296" t="s">
        <v>69</v>
      </c>
      <c r="C296" t="str">
        <f>shubetsu030&amp;""</f>
        <v/>
      </c>
      <c r="D296" t="str">
        <f>(IF(追加番明[[#This Row],[請求種別]]="2",(LEFT(billid030,10)),billid030))&amp;""</f>
        <v/>
      </c>
      <c r="E296" t="str">
        <f>UPPER(SUBSTITUTE(追加番明[[#This Row],[ご請求番号]],"-",""))</f>
        <v/>
      </c>
      <c r="F296" s="129"/>
      <c r="G296" s="129"/>
      <c r="H296" s="129"/>
      <c r="I296" s="129"/>
      <c r="J296" s="129"/>
      <c r="K296" s="129"/>
      <c r="L296" t="b">
        <f>IF(newbillingStationCustomerNumberOnly="",FALSE,shutoku030)</f>
        <v>0</v>
      </c>
    </row>
    <row r="297" spans="1:12">
      <c r="A297">
        <v>31</v>
      </c>
      <c r="B297" t="s">
        <v>69</v>
      </c>
      <c r="C297" t="str">
        <f>shubetsu031&amp;""</f>
        <v/>
      </c>
      <c r="D297" t="str">
        <f>(IF(追加番明[[#This Row],[請求種別]]="2",(LEFT(billid031,10)),billid031))&amp;""</f>
        <v/>
      </c>
      <c r="E297" t="str">
        <f>UPPER(SUBSTITUTE(追加番明[[#This Row],[ご請求番号]],"-",""))</f>
        <v/>
      </c>
      <c r="F297" s="129"/>
      <c r="G297" s="129"/>
      <c r="H297" s="129"/>
      <c r="I297" s="129"/>
      <c r="J297" s="129"/>
      <c r="K297" s="129"/>
      <c r="L297" t="b">
        <f>IF(newbillingStationCustomerNumberOnly="",FALSE,shutoku031)</f>
        <v>0</v>
      </c>
    </row>
    <row r="298" spans="1:12">
      <c r="A298">
        <v>32</v>
      </c>
      <c r="B298" t="s">
        <v>69</v>
      </c>
      <c r="C298" t="str">
        <f>shubetsu032&amp;""</f>
        <v/>
      </c>
      <c r="D298" t="str">
        <f>(IF(追加番明[[#This Row],[請求種別]]="2",(LEFT(billid032,10)),billid032))&amp;""</f>
        <v/>
      </c>
      <c r="E298" t="str">
        <f>UPPER(SUBSTITUTE(追加番明[[#This Row],[ご請求番号]],"-",""))</f>
        <v/>
      </c>
      <c r="F298" s="129"/>
      <c r="G298" s="129"/>
      <c r="H298" s="129"/>
      <c r="I298" s="129"/>
      <c r="J298" s="129"/>
      <c r="K298" s="129"/>
      <c r="L298" t="b">
        <f>IF(newbillingStationCustomerNumberOnly="",FALSE,shutoku032)</f>
        <v>0</v>
      </c>
    </row>
    <row r="299" spans="1:12">
      <c r="A299">
        <v>33</v>
      </c>
      <c r="B299" t="s">
        <v>69</v>
      </c>
      <c r="C299" t="str">
        <f>shubetsu033&amp;""</f>
        <v/>
      </c>
      <c r="D299" t="str">
        <f>(IF(追加番明[[#This Row],[請求種別]]="2",(LEFT(billid033,10)),billid033))&amp;""</f>
        <v/>
      </c>
      <c r="E299" t="str">
        <f>UPPER(SUBSTITUTE(追加番明[[#This Row],[ご請求番号]],"-",""))</f>
        <v/>
      </c>
      <c r="F299" s="129"/>
      <c r="G299" s="129"/>
      <c r="H299" s="129"/>
      <c r="I299" s="129"/>
      <c r="J299" s="129"/>
      <c r="K299" s="129"/>
      <c r="L299" t="b">
        <f>IF(newbillingStationCustomerNumberOnly="",FALSE,shutoku033)</f>
        <v>0</v>
      </c>
    </row>
    <row r="300" spans="1:12">
      <c r="A300">
        <v>34</v>
      </c>
      <c r="B300" t="s">
        <v>69</v>
      </c>
      <c r="C300" t="str">
        <f>shubetsu034&amp;""</f>
        <v/>
      </c>
      <c r="D300" t="str">
        <f>(IF(追加番明[[#This Row],[請求種別]]="2",(LEFT(billid034,10)),billid034))&amp;""</f>
        <v/>
      </c>
      <c r="E300" t="str">
        <f>UPPER(SUBSTITUTE(追加番明[[#This Row],[ご請求番号]],"-",""))</f>
        <v/>
      </c>
      <c r="F300" s="129"/>
      <c r="G300" s="129"/>
      <c r="H300" s="129"/>
      <c r="I300" s="129"/>
      <c r="J300" s="129"/>
      <c r="K300" s="129"/>
      <c r="L300" t="b">
        <f>IF(newbillingStationCustomerNumberOnly="",FALSE,shutoku034)</f>
        <v>0</v>
      </c>
    </row>
    <row r="301" spans="1:12">
      <c r="A301">
        <v>35</v>
      </c>
      <c r="B301" t="s">
        <v>69</v>
      </c>
      <c r="C301" t="str">
        <f>shubetsu035&amp;""</f>
        <v/>
      </c>
      <c r="D301" t="str">
        <f>(IF(追加番明[[#This Row],[請求種別]]="2",(LEFT(billid035,10)),billid035))&amp;""</f>
        <v/>
      </c>
      <c r="E301" t="str">
        <f>UPPER(SUBSTITUTE(追加番明[[#This Row],[ご請求番号]],"-",""))</f>
        <v/>
      </c>
      <c r="F301" s="129"/>
      <c r="G301" s="129"/>
      <c r="H301" s="129"/>
      <c r="I301" s="129"/>
      <c r="J301" s="129"/>
      <c r="K301" s="129"/>
      <c r="L301" t="b">
        <f>IF(newbillingStationCustomerNumberOnly="",FALSE,shutoku035)</f>
        <v>0</v>
      </c>
    </row>
    <row r="302" spans="1:12">
      <c r="A302">
        <v>36</v>
      </c>
      <c r="B302" t="s">
        <v>69</v>
      </c>
      <c r="C302" t="str">
        <f>shubetsu036&amp;""</f>
        <v/>
      </c>
      <c r="D302" t="str">
        <f>(IF(追加番明[[#This Row],[請求種別]]="2",(LEFT(billid036,10)),billid036))&amp;""</f>
        <v/>
      </c>
      <c r="E302" t="str">
        <f>UPPER(SUBSTITUTE(追加番明[[#This Row],[ご請求番号]],"-",""))</f>
        <v/>
      </c>
      <c r="F302" s="129"/>
      <c r="G302" s="129"/>
      <c r="H302" s="129"/>
      <c r="I302" s="129"/>
      <c r="J302" s="129"/>
      <c r="K302" s="129"/>
      <c r="L302" t="b">
        <f>IF(newbillingStationCustomerNumberOnly="",FALSE,shutoku036)</f>
        <v>0</v>
      </c>
    </row>
    <row r="303" spans="1:12">
      <c r="A303">
        <v>37</v>
      </c>
      <c r="B303" t="s">
        <v>69</v>
      </c>
      <c r="C303" t="str">
        <f>shubetsu037&amp;""</f>
        <v/>
      </c>
      <c r="D303" t="str">
        <f>(IF(追加番明[[#This Row],[請求種別]]="2",(LEFT(billid037,10)),billid037))&amp;""</f>
        <v/>
      </c>
      <c r="E303" t="str">
        <f>UPPER(SUBSTITUTE(追加番明[[#This Row],[ご請求番号]],"-",""))</f>
        <v/>
      </c>
      <c r="F303" s="129"/>
      <c r="G303" s="129"/>
      <c r="H303" s="129"/>
      <c r="I303" s="129"/>
      <c r="J303" s="129"/>
      <c r="K303" s="129"/>
      <c r="L303" t="b">
        <f>IF(newbillingStationCustomerNumberOnly="",FALSE,shutoku037)</f>
        <v>0</v>
      </c>
    </row>
    <row r="304" spans="1:12">
      <c r="A304">
        <v>38</v>
      </c>
      <c r="B304" t="s">
        <v>69</v>
      </c>
      <c r="C304" t="str">
        <f>shubetsu038&amp;""</f>
        <v/>
      </c>
      <c r="D304" t="str">
        <f>(IF(追加番明[[#This Row],[請求種別]]="2",(LEFT(billid038,10)),billid038))&amp;""</f>
        <v/>
      </c>
      <c r="E304" t="str">
        <f>UPPER(SUBSTITUTE(追加番明[[#This Row],[ご請求番号]],"-",""))</f>
        <v/>
      </c>
      <c r="F304" s="129"/>
      <c r="G304" s="129"/>
      <c r="H304" s="129"/>
      <c r="I304" s="129"/>
      <c r="J304" s="129"/>
      <c r="K304" s="129"/>
      <c r="L304" t="b">
        <f>IF(newbillingStationCustomerNumberOnly="",FALSE,shutoku038)</f>
        <v>0</v>
      </c>
    </row>
    <row r="305" spans="1:12">
      <c r="A305">
        <v>39</v>
      </c>
      <c r="B305" t="s">
        <v>69</v>
      </c>
      <c r="C305" t="str">
        <f>shubetsu039&amp;""</f>
        <v/>
      </c>
      <c r="D305" t="str">
        <f>(IF(追加番明[[#This Row],[請求種別]]="2",(LEFT(billid039,10)),billid039))&amp;""</f>
        <v/>
      </c>
      <c r="E305" t="str">
        <f>UPPER(SUBSTITUTE(追加番明[[#This Row],[ご請求番号]],"-",""))</f>
        <v/>
      </c>
      <c r="F305" s="129"/>
      <c r="G305" s="129"/>
      <c r="H305" s="129"/>
      <c r="I305" s="129"/>
      <c r="J305" s="129"/>
      <c r="K305" s="129"/>
      <c r="L305" t="b">
        <f>IF(newbillingStationCustomerNumberOnly="",FALSE,shutoku039)</f>
        <v>0</v>
      </c>
    </row>
    <row r="306" spans="1:12">
      <c r="A306">
        <v>40</v>
      </c>
      <c r="B306" t="s">
        <v>69</v>
      </c>
      <c r="C306" t="str">
        <f>shubetsu040&amp;""</f>
        <v/>
      </c>
      <c r="D306" t="str">
        <f>(IF(追加番明[[#This Row],[請求種別]]="2",(LEFT(billid040,10)),billid040))&amp;""</f>
        <v/>
      </c>
      <c r="E306" t="str">
        <f>UPPER(SUBSTITUTE(追加番明[[#This Row],[ご請求番号]],"-",""))</f>
        <v/>
      </c>
      <c r="F306" s="129"/>
      <c r="G306" s="129"/>
      <c r="H306" s="129"/>
      <c r="I306" s="129"/>
      <c r="J306" s="129"/>
      <c r="K306" s="129"/>
      <c r="L306" t="b">
        <f>IF(newbillingStationCustomerNumberOnly="",FALSE,shutoku040)</f>
        <v>0</v>
      </c>
    </row>
    <row r="307" spans="1:12">
      <c r="A307">
        <v>41</v>
      </c>
      <c r="B307" t="s">
        <v>69</v>
      </c>
      <c r="C307" t="str">
        <f>shubetsu041&amp;""</f>
        <v/>
      </c>
      <c r="D307" t="str">
        <f>(IF(追加番明[[#This Row],[請求種別]]="2",(LEFT(billid041,10)),billid041))&amp;""</f>
        <v/>
      </c>
      <c r="E307" t="str">
        <f>UPPER(SUBSTITUTE(追加番明[[#This Row],[ご請求番号]],"-",""))</f>
        <v/>
      </c>
      <c r="F307" s="129"/>
      <c r="G307" s="129"/>
      <c r="H307" s="129"/>
      <c r="I307" s="129"/>
      <c r="J307" s="129"/>
      <c r="K307" s="129"/>
      <c r="L307" t="b">
        <f>IF(newbillingStationCustomerNumberOnly="",FALSE,shutoku041)</f>
        <v>0</v>
      </c>
    </row>
    <row r="308" spans="1:12">
      <c r="A308">
        <v>42</v>
      </c>
      <c r="B308" t="s">
        <v>69</v>
      </c>
      <c r="C308" t="str">
        <f>shubetsu042&amp;""</f>
        <v/>
      </c>
      <c r="D308" t="str">
        <f>(IF(追加番明[[#This Row],[請求種別]]="2",(LEFT(billid042,10)),billid042))&amp;""</f>
        <v/>
      </c>
      <c r="E308" t="str">
        <f>UPPER(SUBSTITUTE(追加番明[[#This Row],[ご請求番号]],"-",""))</f>
        <v/>
      </c>
      <c r="F308" s="129"/>
      <c r="G308" s="129"/>
      <c r="H308" s="129"/>
      <c r="I308" s="129"/>
      <c r="J308" s="129"/>
      <c r="K308" s="129"/>
      <c r="L308" t="b">
        <f>IF(newbillingStationCustomerNumberOnly="",FALSE,shutoku042)</f>
        <v>0</v>
      </c>
    </row>
    <row r="309" spans="1:12">
      <c r="A309">
        <v>43</v>
      </c>
      <c r="B309" t="s">
        <v>69</v>
      </c>
      <c r="C309" t="str">
        <f>shubetsu043&amp;""</f>
        <v/>
      </c>
      <c r="D309" t="str">
        <f>(IF(追加番明[[#This Row],[請求種別]]="2",(LEFT(billid043,10)),billid043))&amp;""</f>
        <v/>
      </c>
      <c r="E309" t="str">
        <f>UPPER(SUBSTITUTE(追加番明[[#This Row],[ご請求番号]],"-",""))</f>
        <v/>
      </c>
      <c r="F309" s="129"/>
      <c r="G309" s="129"/>
      <c r="H309" s="129"/>
      <c r="I309" s="129"/>
      <c r="J309" s="129"/>
      <c r="K309" s="129"/>
      <c r="L309" t="b">
        <f>IF(newbillingStationCustomerNumberOnly="",FALSE,shutoku043)</f>
        <v>0</v>
      </c>
    </row>
    <row r="310" spans="1:12">
      <c r="A310">
        <v>44</v>
      </c>
      <c r="B310" t="s">
        <v>69</v>
      </c>
      <c r="C310" t="str">
        <f>shubetsu044&amp;""</f>
        <v/>
      </c>
      <c r="D310" t="str">
        <f>(IF(追加番明[[#This Row],[請求種別]]="2",(LEFT(billid044,10)),billid044))&amp;""</f>
        <v/>
      </c>
      <c r="E310" t="str">
        <f>UPPER(SUBSTITUTE(追加番明[[#This Row],[ご請求番号]],"-",""))</f>
        <v/>
      </c>
      <c r="F310" s="129"/>
      <c r="G310" s="129"/>
      <c r="H310" s="129"/>
      <c r="I310" s="129"/>
      <c r="J310" s="129"/>
      <c r="K310" s="129"/>
      <c r="L310" t="b">
        <f>IF(newbillingStationCustomerNumberOnly="",FALSE,shutoku044)</f>
        <v>0</v>
      </c>
    </row>
    <row r="311" spans="1:12">
      <c r="A311">
        <v>45</v>
      </c>
      <c r="B311" t="s">
        <v>69</v>
      </c>
      <c r="C311" t="str">
        <f>shubetsu045&amp;""</f>
        <v/>
      </c>
      <c r="D311" t="str">
        <f>(IF(追加番明[[#This Row],[請求種別]]="2",(LEFT(billid045,10)),billid045))&amp;""</f>
        <v/>
      </c>
      <c r="E311" t="str">
        <f>UPPER(SUBSTITUTE(追加番明[[#This Row],[ご請求番号]],"-",""))</f>
        <v/>
      </c>
      <c r="F311" s="129"/>
      <c r="G311" s="129"/>
      <c r="H311" s="129"/>
      <c r="I311" s="129"/>
      <c r="J311" s="129"/>
      <c r="K311" s="129"/>
      <c r="L311" t="b">
        <f>IF(newbillingStationCustomerNumberOnly="",FALSE,shutoku045)</f>
        <v>0</v>
      </c>
    </row>
    <row r="312" spans="1:12">
      <c r="A312">
        <v>46</v>
      </c>
      <c r="B312" t="s">
        <v>69</v>
      </c>
      <c r="C312" t="str">
        <f>shubetsu046&amp;""</f>
        <v/>
      </c>
      <c r="D312" t="str">
        <f>(IF(追加番明[[#This Row],[請求種別]]="2",(LEFT(billid046,10)),billid046))&amp;""</f>
        <v/>
      </c>
      <c r="E312" t="str">
        <f>UPPER(SUBSTITUTE(追加番明[[#This Row],[ご請求番号]],"-",""))</f>
        <v/>
      </c>
      <c r="F312" s="129"/>
      <c r="G312" s="129"/>
      <c r="H312" s="129"/>
      <c r="I312" s="129"/>
      <c r="J312" s="129"/>
      <c r="K312" s="129"/>
      <c r="L312" t="b">
        <f>IF(newbillingStationCustomerNumberOnly="",FALSE,shutoku046)</f>
        <v>0</v>
      </c>
    </row>
    <row r="313" spans="1:12">
      <c r="A313">
        <v>47</v>
      </c>
      <c r="B313" t="s">
        <v>69</v>
      </c>
      <c r="C313" t="str">
        <f>shubetsu047&amp;""</f>
        <v/>
      </c>
      <c r="D313" t="str">
        <f>(IF(追加番明[[#This Row],[請求種別]]="2",(LEFT(billid047,10)),billid047))&amp;""</f>
        <v/>
      </c>
      <c r="E313" t="str">
        <f>UPPER(SUBSTITUTE(追加番明[[#This Row],[ご請求番号]],"-",""))</f>
        <v/>
      </c>
      <c r="F313" s="129"/>
      <c r="G313" s="129"/>
      <c r="H313" s="129"/>
      <c r="I313" s="129"/>
      <c r="J313" s="129"/>
      <c r="K313" s="129"/>
      <c r="L313" t="b">
        <f>IF(newbillingStationCustomerNumberOnly="",FALSE,shutoku047)</f>
        <v>0</v>
      </c>
    </row>
    <row r="314" spans="1:12">
      <c r="A314">
        <v>48</v>
      </c>
      <c r="B314" t="s">
        <v>69</v>
      </c>
      <c r="C314" t="str">
        <f>shubetsu048&amp;""</f>
        <v/>
      </c>
      <c r="D314" t="str">
        <f>(IF(追加番明[[#This Row],[請求種別]]="2",(LEFT(billid048,10)),billid048))&amp;""</f>
        <v/>
      </c>
      <c r="E314" t="str">
        <f>UPPER(SUBSTITUTE(追加番明[[#This Row],[ご請求番号]],"-",""))</f>
        <v/>
      </c>
      <c r="F314" s="129"/>
      <c r="G314" s="129"/>
      <c r="H314" s="129"/>
      <c r="I314" s="129"/>
      <c r="J314" s="129"/>
      <c r="K314" s="129"/>
      <c r="L314" t="b">
        <f>IF(newbillingStationCustomerNumberOnly="",FALSE,shutoku048)</f>
        <v>0</v>
      </c>
    </row>
    <row r="315" spans="1:12">
      <c r="A315">
        <v>49</v>
      </c>
      <c r="B315" t="s">
        <v>69</v>
      </c>
      <c r="C315" t="str">
        <f>shubetsu049&amp;""</f>
        <v/>
      </c>
      <c r="D315" t="str">
        <f>(IF(追加番明[[#This Row],[請求種別]]="2",(LEFT(billid049,10)),billid049))&amp;""</f>
        <v/>
      </c>
      <c r="E315" t="str">
        <f>UPPER(SUBSTITUTE(追加番明[[#This Row],[ご請求番号]],"-",""))</f>
        <v/>
      </c>
      <c r="F315" s="129"/>
      <c r="G315" s="129"/>
      <c r="H315" s="129"/>
      <c r="I315" s="129"/>
      <c r="J315" s="129"/>
      <c r="K315" s="129"/>
      <c r="L315" t="b">
        <f>IF(newbillingStationCustomerNumberOnly="",FALSE,shutoku049)</f>
        <v>0</v>
      </c>
    </row>
    <row r="316" spans="1:12">
      <c r="A316">
        <v>50</v>
      </c>
      <c r="B316" t="s">
        <v>69</v>
      </c>
      <c r="C316" t="str">
        <f>shubetsu050&amp;""</f>
        <v/>
      </c>
      <c r="D316" t="str">
        <f>(IF(追加番明[[#This Row],[請求種別]]="2",(LEFT(billid050,10)),billid050))&amp;""</f>
        <v/>
      </c>
      <c r="E316" t="str">
        <f>UPPER(SUBSTITUTE(追加番明[[#This Row],[ご請求番号]],"-",""))</f>
        <v/>
      </c>
      <c r="F316" s="129"/>
      <c r="G316" s="129"/>
      <c r="H316" s="129"/>
      <c r="I316" s="129"/>
      <c r="J316" s="129"/>
      <c r="K316" s="129"/>
      <c r="L316" t="b">
        <f>IF(newbillingStationCustomerNumberOnly="",FALSE,shutoku050)</f>
        <v>0</v>
      </c>
    </row>
    <row r="317" spans="1:12">
      <c r="A317">
        <v>51</v>
      </c>
      <c r="B317" t="s">
        <v>69</v>
      </c>
      <c r="C317" t="str">
        <f>shubetsu051&amp;""</f>
        <v/>
      </c>
      <c r="D317" t="str">
        <f>(IF(追加番明[[#This Row],[請求種別]]="2",(LEFT(billid051,10)),billid051))&amp;""</f>
        <v/>
      </c>
      <c r="E317" t="str">
        <f>UPPER(SUBSTITUTE(追加番明[[#This Row],[ご請求番号]],"-",""))</f>
        <v/>
      </c>
      <c r="F317" s="129"/>
      <c r="G317" s="129"/>
      <c r="H317" s="129"/>
      <c r="I317" s="129"/>
      <c r="J317" s="129"/>
      <c r="K317" s="129"/>
      <c r="L317" t="b">
        <f>IF(newbillingStationCustomerNumberOnly="",FALSE,shutoku051)</f>
        <v>0</v>
      </c>
    </row>
    <row r="318" spans="1:12">
      <c r="A318">
        <v>52</v>
      </c>
      <c r="B318" t="s">
        <v>69</v>
      </c>
      <c r="C318" t="str">
        <f>shubetsu052&amp;""</f>
        <v/>
      </c>
      <c r="D318" t="str">
        <f>(IF(追加番明[[#This Row],[請求種別]]="2",(LEFT(billid052,10)),billid052))&amp;""</f>
        <v/>
      </c>
      <c r="E318" t="str">
        <f>UPPER(SUBSTITUTE(追加番明[[#This Row],[ご請求番号]],"-",""))</f>
        <v/>
      </c>
      <c r="F318" s="129"/>
      <c r="G318" s="129"/>
      <c r="H318" s="129"/>
      <c r="I318" s="129"/>
      <c r="J318" s="129"/>
      <c r="K318" s="129"/>
      <c r="L318" t="b">
        <f>IF(newbillingStationCustomerNumberOnly="",FALSE,shutoku052)</f>
        <v>0</v>
      </c>
    </row>
    <row r="319" spans="1:12">
      <c r="A319">
        <v>53</v>
      </c>
      <c r="B319" t="s">
        <v>69</v>
      </c>
      <c r="C319" t="str">
        <f>shubetsu053&amp;""</f>
        <v/>
      </c>
      <c r="D319" t="str">
        <f>(IF(追加番明[[#This Row],[請求種別]]="2",(LEFT(billid053,10)),billid053))&amp;""</f>
        <v/>
      </c>
      <c r="E319" t="str">
        <f>UPPER(SUBSTITUTE(追加番明[[#This Row],[ご請求番号]],"-",""))</f>
        <v/>
      </c>
      <c r="F319" s="129"/>
      <c r="G319" s="129"/>
      <c r="H319" s="129"/>
      <c r="I319" s="129"/>
      <c r="J319" s="129"/>
      <c r="K319" s="129"/>
      <c r="L319" t="b">
        <f>IF(newbillingStationCustomerNumberOnly="",FALSE,shutoku053)</f>
        <v>0</v>
      </c>
    </row>
    <row r="320" spans="1:12">
      <c r="A320">
        <v>54</v>
      </c>
      <c r="B320" t="s">
        <v>69</v>
      </c>
      <c r="C320" t="str">
        <f>shubetsu054&amp;""</f>
        <v/>
      </c>
      <c r="D320" t="str">
        <f>(IF(追加番明[[#This Row],[請求種別]]="2",(LEFT(billid054,10)),billid054))&amp;""</f>
        <v/>
      </c>
      <c r="E320" t="str">
        <f>UPPER(SUBSTITUTE(追加番明[[#This Row],[ご請求番号]],"-",""))</f>
        <v/>
      </c>
      <c r="F320" s="129"/>
      <c r="G320" s="129"/>
      <c r="H320" s="129"/>
      <c r="I320" s="129"/>
      <c r="J320" s="129"/>
      <c r="K320" s="129"/>
      <c r="L320" t="b">
        <f>IF(newbillingStationCustomerNumberOnly="",FALSE,shutoku054)</f>
        <v>0</v>
      </c>
    </row>
    <row r="321" spans="1:12">
      <c r="A321">
        <v>55</v>
      </c>
      <c r="B321" t="s">
        <v>69</v>
      </c>
      <c r="C321" t="str">
        <f>shubetsu055&amp;""</f>
        <v/>
      </c>
      <c r="D321" t="str">
        <f>(IF(追加番明[[#This Row],[請求種別]]="2",(LEFT(billid055,10)),billid055))&amp;""</f>
        <v/>
      </c>
      <c r="E321" t="str">
        <f>UPPER(SUBSTITUTE(追加番明[[#This Row],[ご請求番号]],"-",""))</f>
        <v/>
      </c>
      <c r="F321" s="129"/>
      <c r="G321" s="129"/>
      <c r="H321" s="129"/>
      <c r="I321" s="129"/>
      <c r="J321" s="129"/>
      <c r="K321" s="129"/>
      <c r="L321" t="b">
        <f>IF(newbillingStationCustomerNumberOnly="",FALSE,shutoku055)</f>
        <v>0</v>
      </c>
    </row>
    <row r="322" spans="1:12">
      <c r="A322">
        <v>56</v>
      </c>
      <c r="B322" t="s">
        <v>69</v>
      </c>
      <c r="C322" t="str">
        <f>shubetsu056&amp;""</f>
        <v/>
      </c>
      <c r="D322" t="str">
        <f>(IF(追加番明[[#This Row],[請求種別]]="2",(LEFT(billid056,10)),billid056))&amp;""</f>
        <v/>
      </c>
      <c r="E322" t="str">
        <f>UPPER(SUBSTITUTE(追加番明[[#This Row],[ご請求番号]],"-",""))</f>
        <v/>
      </c>
      <c r="F322" s="129"/>
      <c r="G322" s="129"/>
      <c r="H322" s="129"/>
      <c r="I322" s="129"/>
      <c r="J322" s="129"/>
      <c r="K322" s="129"/>
      <c r="L322" t="b">
        <f>IF(newbillingStationCustomerNumberOnly="",FALSE,shutoku056)</f>
        <v>0</v>
      </c>
    </row>
    <row r="323" spans="1:12">
      <c r="A323">
        <v>57</v>
      </c>
      <c r="B323" t="s">
        <v>69</v>
      </c>
      <c r="C323" t="str">
        <f>shubetsu057&amp;""</f>
        <v/>
      </c>
      <c r="D323" t="str">
        <f>(IF(追加番明[[#This Row],[請求種別]]="2",(LEFT(billid057,10)),billid057))&amp;""</f>
        <v/>
      </c>
      <c r="E323" t="str">
        <f>UPPER(SUBSTITUTE(追加番明[[#This Row],[ご請求番号]],"-",""))</f>
        <v/>
      </c>
      <c r="F323" s="129"/>
      <c r="G323" s="129"/>
      <c r="H323" s="129"/>
      <c r="I323" s="129"/>
      <c r="J323" s="129"/>
      <c r="K323" s="129"/>
      <c r="L323" t="b">
        <f>IF(newbillingStationCustomerNumberOnly="",FALSE,shutoku057)</f>
        <v>0</v>
      </c>
    </row>
    <row r="324" spans="1:12">
      <c r="A324">
        <v>58</v>
      </c>
      <c r="B324" t="s">
        <v>69</v>
      </c>
      <c r="C324" t="str">
        <f>shubetsu058&amp;""</f>
        <v/>
      </c>
      <c r="D324" t="str">
        <f>(IF(追加番明[[#This Row],[請求種別]]="2",(LEFT(billid058,10)),billid058))&amp;""</f>
        <v/>
      </c>
      <c r="E324" t="str">
        <f>UPPER(SUBSTITUTE(追加番明[[#This Row],[ご請求番号]],"-",""))</f>
        <v/>
      </c>
      <c r="F324" s="129"/>
      <c r="G324" s="129"/>
      <c r="H324" s="129"/>
      <c r="I324" s="129"/>
      <c r="J324" s="129"/>
      <c r="K324" s="129"/>
      <c r="L324" t="b">
        <f>IF(newbillingStationCustomerNumberOnly="",FALSE,shutoku058)</f>
        <v>0</v>
      </c>
    </row>
    <row r="325" spans="1:12">
      <c r="A325">
        <v>59</v>
      </c>
      <c r="B325" t="s">
        <v>69</v>
      </c>
      <c r="C325" t="str">
        <f>shubetsu059&amp;""</f>
        <v/>
      </c>
      <c r="D325" t="str">
        <f>(IF(追加番明[[#This Row],[請求種別]]="2",(LEFT(billid059,10)),billid059))&amp;""</f>
        <v/>
      </c>
      <c r="E325" t="str">
        <f>UPPER(SUBSTITUTE(追加番明[[#This Row],[ご請求番号]],"-",""))</f>
        <v/>
      </c>
      <c r="F325" s="129"/>
      <c r="G325" s="129"/>
      <c r="H325" s="129"/>
      <c r="I325" s="129"/>
      <c r="J325" s="129"/>
      <c r="K325" s="129"/>
      <c r="L325" t="b">
        <f>IF(newbillingStationCustomerNumberOnly="",FALSE,shutoku059)</f>
        <v>0</v>
      </c>
    </row>
    <row r="326" spans="1:12">
      <c r="A326">
        <v>60</v>
      </c>
      <c r="B326" t="s">
        <v>69</v>
      </c>
      <c r="C326" t="str">
        <f>shubetsu060&amp;""</f>
        <v/>
      </c>
      <c r="D326" t="str">
        <f>(IF(追加番明[[#This Row],[請求種別]]="2",(LEFT(billid060,10)),billid060))&amp;""</f>
        <v/>
      </c>
      <c r="E326" t="str">
        <f>UPPER(SUBSTITUTE(追加番明[[#This Row],[ご請求番号]],"-",""))</f>
        <v/>
      </c>
      <c r="F326" s="129"/>
      <c r="G326" s="129"/>
      <c r="H326" s="129"/>
      <c r="I326" s="129"/>
      <c r="J326" s="129"/>
      <c r="K326" s="129"/>
      <c r="L326" t="b">
        <f>IF(newbillingStationCustomerNumberOnly="",FALSE,shutoku060)</f>
        <v>0</v>
      </c>
    </row>
    <row r="327" spans="1:12">
      <c r="A327">
        <v>61</v>
      </c>
      <c r="B327" t="s">
        <v>69</v>
      </c>
      <c r="C327" t="str">
        <f>shubetsu061&amp;""</f>
        <v/>
      </c>
      <c r="D327" t="str">
        <f>(IF(追加番明[[#This Row],[請求種別]]="2",(LEFT(billid061,10)),billid061))&amp;""</f>
        <v/>
      </c>
      <c r="E327" t="str">
        <f>UPPER(SUBSTITUTE(追加番明[[#This Row],[ご請求番号]],"-",""))</f>
        <v/>
      </c>
      <c r="F327" s="129"/>
      <c r="G327" s="129"/>
      <c r="H327" s="129"/>
      <c r="I327" s="129"/>
      <c r="J327" s="129"/>
      <c r="K327" s="129"/>
      <c r="L327" t="b">
        <f>IF(newbillingStationCustomerNumberOnly="",FALSE,shutoku061)</f>
        <v>0</v>
      </c>
    </row>
    <row r="328" spans="1:12">
      <c r="A328">
        <v>62</v>
      </c>
      <c r="B328" t="s">
        <v>69</v>
      </c>
      <c r="C328" t="str">
        <f>shubetsu062&amp;""</f>
        <v/>
      </c>
      <c r="D328" t="str">
        <f>(IF(追加番明[[#This Row],[請求種別]]="2",(LEFT(billid062,10)),billid062))&amp;""</f>
        <v/>
      </c>
      <c r="E328" t="str">
        <f>UPPER(SUBSTITUTE(追加番明[[#This Row],[ご請求番号]],"-",""))</f>
        <v/>
      </c>
      <c r="F328" s="129"/>
      <c r="G328" s="129"/>
      <c r="H328" s="129"/>
      <c r="I328" s="129"/>
      <c r="J328" s="129"/>
      <c r="K328" s="129"/>
      <c r="L328" t="b">
        <f>IF(newbillingStationCustomerNumberOnly="",FALSE,shutoku062)</f>
        <v>0</v>
      </c>
    </row>
    <row r="329" spans="1:12">
      <c r="A329">
        <v>63</v>
      </c>
      <c r="B329" t="s">
        <v>69</v>
      </c>
      <c r="C329" t="str">
        <f>shubetsu063&amp;""</f>
        <v/>
      </c>
      <c r="D329" t="str">
        <f>(IF(追加番明[[#This Row],[請求種別]]="2",(LEFT(billid063,10)),billid063))&amp;""</f>
        <v/>
      </c>
      <c r="E329" t="str">
        <f>UPPER(SUBSTITUTE(追加番明[[#This Row],[ご請求番号]],"-",""))</f>
        <v/>
      </c>
      <c r="F329" s="129"/>
      <c r="G329" s="129"/>
      <c r="H329" s="129"/>
      <c r="I329" s="129"/>
      <c r="J329" s="129"/>
      <c r="K329" s="129"/>
      <c r="L329" t="b">
        <f>IF(newbillingStationCustomerNumberOnly="",FALSE,shutoku063)</f>
        <v>0</v>
      </c>
    </row>
    <row r="330" spans="1:12">
      <c r="A330">
        <v>64</v>
      </c>
      <c r="B330" t="s">
        <v>69</v>
      </c>
      <c r="C330" t="str">
        <f>shubetsu064&amp;""</f>
        <v/>
      </c>
      <c r="D330" t="str">
        <f>(IF(追加番明[[#This Row],[請求種別]]="2",(LEFT(billid064,10)),billid064))&amp;""</f>
        <v/>
      </c>
      <c r="E330" t="str">
        <f>UPPER(SUBSTITUTE(追加番明[[#This Row],[ご請求番号]],"-",""))</f>
        <v/>
      </c>
      <c r="F330" s="129"/>
      <c r="G330" s="129"/>
      <c r="H330" s="129"/>
      <c r="I330" s="129"/>
      <c r="J330" s="129"/>
      <c r="K330" s="129"/>
      <c r="L330" t="b">
        <f>IF(newbillingStationCustomerNumberOnly="",FALSE,shutoku064)</f>
        <v>0</v>
      </c>
    </row>
    <row r="331" spans="1:12">
      <c r="A331">
        <v>65</v>
      </c>
      <c r="B331" t="s">
        <v>69</v>
      </c>
      <c r="C331" t="str">
        <f>shubetsu065&amp;""</f>
        <v/>
      </c>
      <c r="D331" t="str">
        <f>(IF(追加番明[[#This Row],[請求種別]]="2",(LEFT(billid065,10)),billid065))&amp;""</f>
        <v/>
      </c>
      <c r="E331" t="str">
        <f>UPPER(SUBSTITUTE(追加番明[[#This Row],[ご請求番号]],"-",""))</f>
        <v/>
      </c>
      <c r="F331" s="129"/>
      <c r="G331" s="129"/>
      <c r="H331" s="129"/>
      <c r="I331" s="129"/>
      <c r="J331" s="129"/>
      <c r="K331" s="129"/>
      <c r="L331" t="b">
        <f>IF(newbillingStationCustomerNumberOnly="",FALSE,shutoku065)</f>
        <v>0</v>
      </c>
    </row>
    <row r="332" spans="1:12">
      <c r="A332">
        <v>66</v>
      </c>
      <c r="B332" t="s">
        <v>69</v>
      </c>
      <c r="C332" t="str">
        <f>shubetsu066&amp;""</f>
        <v/>
      </c>
      <c r="D332" t="str">
        <f>(IF(追加番明[[#This Row],[請求種別]]="2",(LEFT(billid066,10)),billid066))&amp;""</f>
        <v/>
      </c>
      <c r="E332" t="str">
        <f>UPPER(SUBSTITUTE(追加番明[[#This Row],[ご請求番号]],"-",""))</f>
        <v/>
      </c>
      <c r="F332" s="129"/>
      <c r="G332" s="129"/>
      <c r="H332" s="129"/>
      <c r="I332" s="129"/>
      <c r="J332" s="129"/>
      <c r="K332" s="129"/>
      <c r="L332" t="b">
        <f>IF(newbillingStationCustomerNumberOnly="",FALSE,shutoku066)</f>
        <v>0</v>
      </c>
    </row>
    <row r="333" spans="1:12">
      <c r="A333">
        <v>67</v>
      </c>
      <c r="B333" t="s">
        <v>69</v>
      </c>
      <c r="C333" t="str">
        <f>shubetsu067&amp;""</f>
        <v/>
      </c>
      <c r="D333" t="str">
        <f>(IF(追加番明[[#This Row],[請求種別]]="2",(LEFT(billid067,10)),billid067))&amp;""</f>
        <v/>
      </c>
      <c r="E333" t="str">
        <f>UPPER(SUBSTITUTE(追加番明[[#This Row],[ご請求番号]],"-",""))</f>
        <v/>
      </c>
      <c r="F333" s="129"/>
      <c r="G333" s="129"/>
      <c r="H333" s="129"/>
      <c r="I333" s="129"/>
      <c r="J333" s="129"/>
      <c r="K333" s="129"/>
      <c r="L333" t="b">
        <f>IF(newbillingStationCustomerNumberOnly="",FALSE,shutoku067)</f>
        <v>0</v>
      </c>
    </row>
    <row r="334" spans="1:12">
      <c r="A334">
        <v>68</v>
      </c>
      <c r="B334" t="s">
        <v>69</v>
      </c>
      <c r="C334" t="str">
        <f>shubetsu068&amp;""</f>
        <v/>
      </c>
      <c r="D334" t="str">
        <f>(IF(追加番明[[#This Row],[請求種別]]="2",(LEFT(billid068,10)),billid068))&amp;""</f>
        <v/>
      </c>
      <c r="E334" t="str">
        <f>UPPER(SUBSTITUTE(追加番明[[#This Row],[ご請求番号]],"-",""))</f>
        <v/>
      </c>
      <c r="F334" s="129"/>
      <c r="G334" s="129"/>
      <c r="H334" s="129"/>
      <c r="I334" s="129"/>
      <c r="J334" s="129"/>
      <c r="K334" s="129"/>
      <c r="L334" t="b">
        <f>IF(newbillingStationCustomerNumberOnly="",FALSE,shutoku068)</f>
        <v>0</v>
      </c>
    </row>
    <row r="335" spans="1:12">
      <c r="A335">
        <v>69</v>
      </c>
      <c r="B335" t="s">
        <v>69</v>
      </c>
      <c r="C335" t="str">
        <f>shubetsu069&amp;""</f>
        <v/>
      </c>
      <c r="D335" t="str">
        <f>(IF(追加番明[[#This Row],[請求種別]]="2",(LEFT(billid069,10)),billid069))&amp;""</f>
        <v/>
      </c>
      <c r="E335" t="str">
        <f>UPPER(SUBSTITUTE(追加番明[[#This Row],[ご請求番号]],"-",""))</f>
        <v/>
      </c>
      <c r="F335" s="129"/>
      <c r="G335" s="129"/>
      <c r="H335" s="129"/>
      <c r="I335" s="129"/>
      <c r="J335" s="129"/>
      <c r="K335" s="129"/>
      <c r="L335" t="b">
        <f>IF(newbillingStationCustomerNumberOnly="",FALSE,shutoku069)</f>
        <v>0</v>
      </c>
    </row>
    <row r="336" spans="1:12">
      <c r="A336">
        <v>70</v>
      </c>
      <c r="B336" t="s">
        <v>69</v>
      </c>
      <c r="C336" t="str">
        <f>shubetsu070&amp;""</f>
        <v/>
      </c>
      <c r="D336" t="str">
        <f>(IF(追加番明[[#This Row],[請求種別]]="2",(LEFT(billid070,10)),billid070))&amp;""</f>
        <v/>
      </c>
      <c r="E336" t="str">
        <f>UPPER(SUBSTITUTE(追加番明[[#This Row],[ご請求番号]],"-",""))</f>
        <v/>
      </c>
      <c r="F336" s="129"/>
      <c r="G336" s="129"/>
      <c r="H336" s="129"/>
      <c r="I336" s="129"/>
      <c r="J336" s="129"/>
      <c r="K336" s="129"/>
      <c r="L336" t="b">
        <f>IF(newbillingStationCustomerNumberOnly="",FALSE,shutoku070)</f>
        <v>0</v>
      </c>
    </row>
    <row r="337" spans="1:12">
      <c r="A337">
        <v>71</v>
      </c>
      <c r="B337" t="s">
        <v>69</v>
      </c>
      <c r="C337" t="str">
        <f>shubetsu071&amp;""</f>
        <v/>
      </c>
      <c r="D337" t="str">
        <f>(IF(追加番明[[#This Row],[請求種別]]="2",(LEFT(billid071,10)),billid071))&amp;""</f>
        <v/>
      </c>
      <c r="E337" t="str">
        <f>UPPER(SUBSTITUTE(追加番明[[#This Row],[ご請求番号]],"-",""))</f>
        <v/>
      </c>
      <c r="F337" s="129"/>
      <c r="G337" s="129"/>
      <c r="H337" s="129"/>
      <c r="I337" s="129"/>
      <c r="J337" s="129"/>
      <c r="K337" s="129"/>
      <c r="L337" t="b">
        <f>IF(newbillingStationCustomerNumberOnly="",FALSE,shutoku071)</f>
        <v>0</v>
      </c>
    </row>
    <row r="338" spans="1:12">
      <c r="A338">
        <v>72</v>
      </c>
      <c r="B338" t="s">
        <v>69</v>
      </c>
      <c r="C338" t="str">
        <f>shubetsu072&amp;""</f>
        <v/>
      </c>
      <c r="D338" t="str">
        <f>(IF(追加番明[[#This Row],[請求種別]]="2",(LEFT(billid072,10)),billid072))&amp;""</f>
        <v/>
      </c>
      <c r="E338" t="str">
        <f>UPPER(SUBSTITUTE(追加番明[[#This Row],[ご請求番号]],"-",""))</f>
        <v/>
      </c>
      <c r="F338" s="129"/>
      <c r="G338" s="129"/>
      <c r="H338" s="129"/>
      <c r="I338" s="129"/>
      <c r="J338" s="129"/>
      <c r="K338" s="129"/>
      <c r="L338" t="b">
        <f>IF(newbillingStationCustomerNumberOnly="",FALSE,shutoku072)</f>
        <v>0</v>
      </c>
    </row>
    <row r="339" spans="1:12">
      <c r="A339">
        <v>73</v>
      </c>
      <c r="B339" t="s">
        <v>69</v>
      </c>
      <c r="C339" t="str">
        <f>shubetsu073&amp;""</f>
        <v/>
      </c>
      <c r="D339" t="str">
        <f>(IF(追加番明[[#This Row],[請求種別]]="2",(LEFT(billid073,10)),billid073))&amp;""</f>
        <v/>
      </c>
      <c r="E339" t="str">
        <f>UPPER(SUBSTITUTE(追加番明[[#This Row],[ご請求番号]],"-",""))</f>
        <v/>
      </c>
      <c r="F339" s="129"/>
      <c r="G339" s="129"/>
      <c r="H339" s="129"/>
      <c r="I339" s="129"/>
      <c r="J339" s="129"/>
      <c r="K339" s="129"/>
      <c r="L339" t="b">
        <f>IF(newbillingStationCustomerNumberOnly="",FALSE,shutoku073)</f>
        <v>0</v>
      </c>
    </row>
    <row r="340" spans="1:12">
      <c r="A340">
        <v>74</v>
      </c>
      <c r="B340" t="s">
        <v>69</v>
      </c>
      <c r="C340" t="str">
        <f>shubetsu074&amp;""</f>
        <v/>
      </c>
      <c r="D340" t="str">
        <f>(IF(追加番明[[#This Row],[請求種別]]="2",(LEFT(billid074,10)),billid074))&amp;""</f>
        <v/>
      </c>
      <c r="E340" t="str">
        <f>UPPER(SUBSTITUTE(追加番明[[#This Row],[ご請求番号]],"-",""))</f>
        <v/>
      </c>
      <c r="F340" s="129"/>
      <c r="G340" s="129"/>
      <c r="H340" s="129"/>
      <c r="I340" s="129"/>
      <c r="J340" s="129"/>
      <c r="K340" s="129"/>
      <c r="L340" t="b">
        <f>IF(newbillingStationCustomerNumberOnly="",FALSE,shutoku074)</f>
        <v>0</v>
      </c>
    </row>
    <row r="341" spans="1:12">
      <c r="A341">
        <v>75</v>
      </c>
      <c r="B341" t="s">
        <v>69</v>
      </c>
      <c r="C341" t="str">
        <f>shubetsu075&amp;""</f>
        <v/>
      </c>
      <c r="D341" t="str">
        <f>(IF(追加番明[[#This Row],[請求種別]]="2",(LEFT(billid075,10)),billid075))&amp;""</f>
        <v/>
      </c>
      <c r="E341" t="str">
        <f>UPPER(SUBSTITUTE(追加番明[[#This Row],[ご請求番号]],"-",""))</f>
        <v/>
      </c>
      <c r="F341" s="129"/>
      <c r="G341" s="129"/>
      <c r="H341" s="129"/>
      <c r="I341" s="129"/>
      <c r="J341" s="129"/>
      <c r="K341" s="129"/>
      <c r="L341" t="b">
        <f>IF(newbillingStationCustomerNumberOnly="",FALSE,shutoku075)</f>
        <v>0</v>
      </c>
    </row>
    <row r="342" spans="1:12">
      <c r="A342">
        <v>76</v>
      </c>
      <c r="B342" t="s">
        <v>69</v>
      </c>
      <c r="C342" t="str">
        <f>shubetsu076&amp;""</f>
        <v/>
      </c>
      <c r="D342" t="str">
        <f>(IF(追加番明[[#This Row],[請求種別]]="2",(LEFT(billid076,10)),billid076))&amp;""</f>
        <v/>
      </c>
      <c r="E342" t="str">
        <f>UPPER(SUBSTITUTE(追加番明[[#This Row],[ご請求番号]],"-",""))</f>
        <v/>
      </c>
      <c r="F342" s="129"/>
      <c r="G342" s="129"/>
      <c r="H342" s="129"/>
      <c r="I342" s="129"/>
      <c r="J342" s="129"/>
      <c r="K342" s="129"/>
      <c r="L342" t="b">
        <f>IF(newbillingStationCustomerNumberOnly="",FALSE,shutoku076)</f>
        <v>0</v>
      </c>
    </row>
    <row r="343" spans="1:12">
      <c r="A343">
        <v>77</v>
      </c>
      <c r="B343" t="s">
        <v>69</v>
      </c>
      <c r="C343" t="str">
        <f>shubetsu077&amp;""</f>
        <v/>
      </c>
      <c r="D343" t="str">
        <f>(IF(追加番明[[#This Row],[請求種別]]="2",(LEFT(billid077,10)),billid077))&amp;""</f>
        <v/>
      </c>
      <c r="E343" t="str">
        <f>UPPER(SUBSTITUTE(追加番明[[#This Row],[ご請求番号]],"-",""))</f>
        <v/>
      </c>
      <c r="F343" s="129"/>
      <c r="G343" s="129"/>
      <c r="H343" s="129"/>
      <c r="I343" s="129"/>
      <c r="J343" s="129"/>
      <c r="K343" s="129"/>
      <c r="L343" t="b">
        <f>IF(newbillingStationCustomerNumberOnly="",FALSE,shutoku077)</f>
        <v>0</v>
      </c>
    </row>
    <row r="344" spans="1:12">
      <c r="A344">
        <v>78</v>
      </c>
      <c r="B344" t="s">
        <v>69</v>
      </c>
      <c r="C344" t="str">
        <f>shubetsu078&amp;""</f>
        <v/>
      </c>
      <c r="D344" t="str">
        <f>(IF(追加番明[[#This Row],[請求種別]]="2",(LEFT(billid078,10)),billid078))&amp;""</f>
        <v/>
      </c>
      <c r="E344" t="str">
        <f>UPPER(SUBSTITUTE(追加番明[[#This Row],[ご請求番号]],"-",""))</f>
        <v/>
      </c>
      <c r="F344" s="129"/>
      <c r="G344" s="129"/>
      <c r="H344" s="129"/>
      <c r="I344" s="129"/>
      <c r="J344" s="129"/>
      <c r="K344" s="129"/>
      <c r="L344" t="b">
        <f>IF(newbillingStationCustomerNumberOnly="",FALSE,shutoku078)</f>
        <v>0</v>
      </c>
    </row>
    <row r="345" spans="1:12">
      <c r="A345">
        <v>79</v>
      </c>
      <c r="B345" t="s">
        <v>69</v>
      </c>
      <c r="C345" t="str">
        <f>shubetsu079&amp;""</f>
        <v/>
      </c>
      <c r="D345" t="str">
        <f>(IF(追加番明[[#This Row],[請求種別]]="2",(LEFT(billid079,10)),billid079))&amp;""</f>
        <v/>
      </c>
      <c r="E345" t="str">
        <f>UPPER(SUBSTITUTE(追加番明[[#This Row],[ご請求番号]],"-",""))</f>
        <v/>
      </c>
      <c r="F345" s="129"/>
      <c r="G345" s="129"/>
      <c r="H345" s="129"/>
      <c r="I345" s="129"/>
      <c r="J345" s="129"/>
      <c r="K345" s="129"/>
      <c r="L345" t="b">
        <f>IF(newbillingStationCustomerNumberOnly="",FALSE,shutoku079)</f>
        <v>0</v>
      </c>
    </row>
    <row r="346" spans="1:12">
      <c r="A346">
        <v>80</v>
      </c>
      <c r="B346" t="s">
        <v>69</v>
      </c>
      <c r="C346" t="str">
        <f>shubetsu080&amp;""</f>
        <v/>
      </c>
      <c r="D346" t="str">
        <f>(IF(追加番明[[#This Row],[請求種別]]="2",(LEFT(billid080,10)),billid080))&amp;""</f>
        <v/>
      </c>
      <c r="E346" t="str">
        <f>UPPER(SUBSTITUTE(追加番明[[#This Row],[ご請求番号]],"-",""))</f>
        <v/>
      </c>
      <c r="F346" s="129"/>
      <c r="G346" s="129"/>
      <c r="H346" s="129"/>
      <c r="I346" s="129"/>
      <c r="J346" s="129"/>
      <c r="K346" s="129"/>
      <c r="L346" t="b">
        <f>IF(newbillingStationCustomerNumberOnly="",FALSE,shutoku080)</f>
        <v>0</v>
      </c>
    </row>
    <row r="347" spans="1:12">
      <c r="A347">
        <v>81</v>
      </c>
      <c r="B347" t="s">
        <v>69</v>
      </c>
      <c r="C347" t="str">
        <f>shubetsu081&amp;""</f>
        <v/>
      </c>
      <c r="D347" t="str">
        <f>(IF(追加番明[[#This Row],[請求種別]]="2",(LEFT(billid081,10)),billid081))&amp;""</f>
        <v/>
      </c>
      <c r="E347" t="str">
        <f>UPPER(SUBSTITUTE(追加番明[[#This Row],[ご請求番号]],"-",""))</f>
        <v/>
      </c>
      <c r="F347" s="129"/>
      <c r="G347" s="129"/>
      <c r="H347" s="129"/>
      <c r="I347" s="129"/>
      <c r="J347" s="129"/>
      <c r="K347" s="129"/>
      <c r="L347" t="b">
        <f>IF(newbillingStationCustomerNumberOnly="",FALSE,shutoku081)</f>
        <v>0</v>
      </c>
    </row>
    <row r="348" spans="1:12">
      <c r="A348">
        <v>82</v>
      </c>
      <c r="B348" t="s">
        <v>69</v>
      </c>
      <c r="C348" t="str">
        <f>shubetsu082&amp;""</f>
        <v/>
      </c>
      <c r="D348" t="str">
        <f>(IF(追加番明[[#This Row],[請求種別]]="2",(LEFT(billid082,10)),billid082))&amp;""</f>
        <v/>
      </c>
      <c r="E348" t="str">
        <f>UPPER(SUBSTITUTE(追加番明[[#This Row],[ご請求番号]],"-",""))</f>
        <v/>
      </c>
      <c r="F348" s="129"/>
      <c r="G348" s="129"/>
      <c r="H348" s="129"/>
      <c r="I348" s="129"/>
      <c r="J348" s="129"/>
      <c r="K348" s="129"/>
      <c r="L348" t="b">
        <f>IF(newbillingStationCustomerNumberOnly="",FALSE,shutoku082)</f>
        <v>0</v>
      </c>
    </row>
    <row r="349" spans="1:12">
      <c r="A349">
        <v>83</v>
      </c>
      <c r="B349" t="s">
        <v>69</v>
      </c>
      <c r="C349" t="str">
        <f>shubetsu083&amp;""</f>
        <v/>
      </c>
      <c r="D349" t="str">
        <f>(IF(追加番明[[#This Row],[請求種別]]="2",(LEFT(billid083,10)),billid083))&amp;""</f>
        <v/>
      </c>
      <c r="E349" t="str">
        <f>UPPER(SUBSTITUTE(追加番明[[#This Row],[ご請求番号]],"-",""))</f>
        <v/>
      </c>
      <c r="F349" s="129"/>
      <c r="G349" s="129"/>
      <c r="H349" s="129"/>
      <c r="I349" s="129"/>
      <c r="J349" s="129"/>
      <c r="K349" s="129"/>
      <c r="L349" t="b">
        <f>IF(newbillingStationCustomerNumberOnly="",FALSE,shutoku083)</f>
        <v>0</v>
      </c>
    </row>
    <row r="350" spans="1:12">
      <c r="A350">
        <v>84</v>
      </c>
      <c r="B350" t="s">
        <v>69</v>
      </c>
      <c r="C350" t="str">
        <f>shubetsu084&amp;""</f>
        <v/>
      </c>
      <c r="D350" t="str">
        <f>(IF(追加番明[[#This Row],[請求種別]]="2",(LEFT(billid084,10)),billid084))&amp;""</f>
        <v/>
      </c>
      <c r="E350" t="str">
        <f>UPPER(SUBSTITUTE(追加番明[[#This Row],[ご請求番号]],"-",""))</f>
        <v/>
      </c>
      <c r="F350" s="129"/>
      <c r="G350" s="129"/>
      <c r="H350" s="129"/>
      <c r="I350" s="129"/>
      <c r="J350" s="129"/>
      <c r="K350" s="129"/>
      <c r="L350" t="b">
        <f>IF(newbillingStationCustomerNumberOnly="",FALSE,shutoku084)</f>
        <v>0</v>
      </c>
    </row>
    <row r="351" spans="1:12">
      <c r="A351">
        <v>85</v>
      </c>
      <c r="B351" t="s">
        <v>69</v>
      </c>
      <c r="C351" t="str">
        <f>shubetsu085&amp;""</f>
        <v/>
      </c>
      <c r="D351" t="str">
        <f>(IF(追加番明[[#This Row],[請求種別]]="2",(LEFT(billid085,10)),billid085))&amp;""</f>
        <v/>
      </c>
      <c r="E351" t="str">
        <f>UPPER(SUBSTITUTE(追加番明[[#This Row],[ご請求番号]],"-",""))</f>
        <v/>
      </c>
      <c r="F351" s="129"/>
      <c r="G351" s="129"/>
      <c r="H351" s="129"/>
      <c r="I351" s="129"/>
      <c r="J351" s="129"/>
      <c r="K351" s="129"/>
      <c r="L351" t="b">
        <f>IF(newbillingStationCustomerNumberOnly="",FALSE,shutoku085)</f>
        <v>0</v>
      </c>
    </row>
    <row r="352" spans="1:12">
      <c r="A352">
        <v>86</v>
      </c>
      <c r="B352" t="s">
        <v>69</v>
      </c>
      <c r="C352" t="str">
        <f>shubetsu086&amp;""</f>
        <v/>
      </c>
      <c r="D352" t="str">
        <f>(IF(追加番明[[#This Row],[請求種別]]="2",(LEFT(billid086,10)),billid086))&amp;""</f>
        <v/>
      </c>
      <c r="E352" t="str">
        <f>UPPER(SUBSTITUTE(追加番明[[#This Row],[ご請求番号]],"-",""))</f>
        <v/>
      </c>
      <c r="F352" s="129"/>
      <c r="G352" s="129"/>
      <c r="H352" s="129"/>
      <c r="I352" s="129"/>
      <c r="J352" s="129"/>
      <c r="K352" s="129"/>
      <c r="L352" t="b">
        <f>IF(newbillingStationCustomerNumberOnly="",FALSE,shutoku086)</f>
        <v>0</v>
      </c>
    </row>
    <row r="353" spans="1:12">
      <c r="A353">
        <v>87</v>
      </c>
      <c r="B353" t="s">
        <v>69</v>
      </c>
      <c r="C353" t="str">
        <f>shubetsu087&amp;""</f>
        <v/>
      </c>
      <c r="D353" t="str">
        <f>(IF(追加番明[[#This Row],[請求種別]]="2",(LEFT(billid087,10)),billid087))&amp;""</f>
        <v/>
      </c>
      <c r="E353" t="str">
        <f>UPPER(SUBSTITUTE(追加番明[[#This Row],[ご請求番号]],"-",""))</f>
        <v/>
      </c>
      <c r="F353" s="129"/>
      <c r="G353" s="129"/>
      <c r="H353" s="129"/>
      <c r="I353" s="129"/>
      <c r="J353" s="129"/>
      <c r="K353" s="129"/>
      <c r="L353" t="b">
        <f>IF(newbillingStationCustomerNumberOnly="",FALSE,shutoku087)</f>
        <v>0</v>
      </c>
    </row>
    <row r="354" spans="1:12">
      <c r="A354">
        <v>88</v>
      </c>
      <c r="B354" t="s">
        <v>69</v>
      </c>
      <c r="C354" t="str">
        <f>shubetsu088&amp;""</f>
        <v/>
      </c>
      <c r="D354" t="str">
        <f>(IF(追加番明[[#This Row],[請求種別]]="2",(LEFT(billid088,10)),billid088))&amp;""</f>
        <v/>
      </c>
      <c r="E354" t="str">
        <f>UPPER(SUBSTITUTE(追加番明[[#This Row],[ご請求番号]],"-",""))</f>
        <v/>
      </c>
      <c r="F354" s="129"/>
      <c r="G354" s="129"/>
      <c r="H354" s="129"/>
      <c r="I354" s="129"/>
      <c r="J354" s="129"/>
      <c r="K354" s="129"/>
      <c r="L354" t="b">
        <f>IF(newbillingStationCustomerNumberOnly="",FALSE,shutoku088)</f>
        <v>0</v>
      </c>
    </row>
    <row r="355" spans="1:12">
      <c r="A355">
        <v>89</v>
      </c>
      <c r="B355" t="s">
        <v>69</v>
      </c>
      <c r="C355" t="str">
        <f>shubetsu089&amp;""</f>
        <v/>
      </c>
      <c r="D355" t="str">
        <f>(IF(追加番明[[#This Row],[請求種別]]="2",(LEFT(billid089,10)),billid089))&amp;""</f>
        <v/>
      </c>
      <c r="E355" t="str">
        <f>UPPER(SUBSTITUTE(追加番明[[#This Row],[ご請求番号]],"-",""))</f>
        <v/>
      </c>
      <c r="F355" s="129"/>
      <c r="G355" s="129"/>
      <c r="H355" s="129"/>
      <c r="I355" s="129"/>
      <c r="J355" s="129"/>
      <c r="K355" s="129"/>
      <c r="L355" t="b">
        <f>IF(newbillingStationCustomerNumberOnly="",FALSE,shutoku089)</f>
        <v>0</v>
      </c>
    </row>
    <row r="356" spans="1:12">
      <c r="A356">
        <v>90</v>
      </c>
      <c r="B356" t="s">
        <v>69</v>
      </c>
      <c r="C356" t="str">
        <f>shubetsu090&amp;""</f>
        <v/>
      </c>
      <c r="D356" t="str">
        <f>(IF(追加番明[[#This Row],[請求種別]]="2",(LEFT(billid090,10)),billid090))&amp;""</f>
        <v/>
      </c>
      <c r="E356" t="str">
        <f>UPPER(SUBSTITUTE(追加番明[[#This Row],[ご請求番号]],"-",""))</f>
        <v/>
      </c>
      <c r="F356" s="129"/>
      <c r="G356" s="129"/>
      <c r="H356" s="129"/>
      <c r="I356" s="129"/>
      <c r="J356" s="129"/>
      <c r="K356" s="129"/>
      <c r="L356" t="b">
        <f>IF(newbillingStationCustomerNumberOnly="",FALSE,shutoku090)</f>
        <v>0</v>
      </c>
    </row>
    <row r="357" spans="1:12">
      <c r="A357">
        <v>91</v>
      </c>
      <c r="B357" t="s">
        <v>69</v>
      </c>
      <c r="C357" t="str">
        <f>shubetsu091&amp;""</f>
        <v/>
      </c>
      <c r="D357" t="str">
        <f>(IF(追加番明[[#This Row],[請求種別]]="2",(LEFT(billid091,10)),billid091))&amp;""</f>
        <v/>
      </c>
      <c r="E357" t="str">
        <f>UPPER(SUBSTITUTE(追加番明[[#This Row],[ご請求番号]],"-",""))</f>
        <v/>
      </c>
      <c r="F357" s="129"/>
      <c r="G357" s="129"/>
      <c r="H357" s="129"/>
      <c r="I357" s="129"/>
      <c r="J357" s="129"/>
      <c r="K357" s="129"/>
      <c r="L357" t="b">
        <f>IF(newbillingStationCustomerNumberOnly="",FALSE,shutoku091)</f>
        <v>0</v>
      </c>
    </row>
    <row r="358" spans="1:12">
      <c r="A358">
        <v>92</v>
      </c>
      <c r="B358" t="s">
        <v>69</v>
      </c>
      <c r="C358" t="str">
        <f>shubetsu092&amp;""</f>
        <v/>
      </c>
      <c r="D358" t="str">
        <f>(IF(追加番明[[#This Row],[請求種別]]="2",(LEFT(billid092,10)),billid092))&amp;""</f>
        <v/>
      </c>
      <c r="E358" t="str">
        <f>UPPER(SUBSTITUTE(追加番明[[#This Row],[ご請求番号]],"-",""))</f>
        <v/>
      </c>
      <c r="F358" s="129"/>
      <c r="G358" s="129"/>
      <c r="H358" s="129"/>
      <c r="I358" s="129"/>
      <c r="J358" s="129"/>
      <c r="K358" s="129"/>
      <c r="L358" t="b">
        <f>IF(newbillingStationCustomerNumberOnly="",FALSE,shutoku092)</f>
        <v>0</v>
      </c>
    </row>
    <row r="359" spans="1:12">
      <c r="A359">
        <v>93</v>
      </c>
      <c r="B359" t="s">
        <v>69</v>
      </c>
      <c r="C359" t="str">
        <f>shubetsu093&amp;""</f>
        <v/>
      </c>
      <c r="D359" t="str">
        <f>(IF(追加番明[[#This Row],[請求種別]]="2",(LEFT(billid093,10)),billid093))&amp;""</f>
        <v/>
      </c>
      <c r="E359" t="str">
        <f>UPPER(SUBSTITUTE(追加番明[[#This Row],[ご請求番号]],"-",""))</f>
        <v/>
      </c>
      <c r="F359" s="129"/>
      <c r="G359" s="129"/>
      <c r="H359" s="129"/>
      <c r="I359" s="129"/>
      <c r="J359" s="129"/>
      <c r="K359" s="129"/>
      <c r="L359" t="b">
        <f>IF(newbillingStationCustomerNumberOnly="",FALSE,shutoku093)</f>
        <v>0</v>
      </c>
    </row>
    <row r="360" spans="1:12">
      <c r="A360">
        <v>94</v>
      </c>
      <c r="B360" t="s">
        <v>69</v>
      </c>
      <c r="C360" t="str">
        <f>shubetsu094&amp;""</f>
        <v/>
      </c>
      <c r="D360" t="str">
        <f>(IF(追加番明[[#This Row],[請求種別]]="2",(LEFT(billid094,10)),billid094))&amp;""</f>
        <v/>
      </c>
      <c r="E360" t="str">
        <f>UPPER(SUBSTITUTE(追加番明[[#This Row],[ご請求番号]],"-",""))</f>
        <v/>
      </c>
      <c r="F360" s="129"/>
      <c r="G360" s="129"/>
      <c r="H360" s="129"/>
      <c r="I360" s="129"/>
      <c r="J360" s="129"/>
      <c r="K360" s="129"/>
      <c r="L360" t="b">
        <f>IF(newbillingStationCustomerNumberOnly="",FALSE,shutoku094)</f>
        <v>0</v>
      </c>
    </row>
    <row r="361" spans="1:12">
      <c r="A361">
        <v>95</v>
      </c>
      <c r="B361" t="s">
        <v>69</v>
      </c>
      <c r="C361" t="str">
        <f>shubetsu095&amp;""</f>
        <v/>
      </c>
      <c r="D361" t="str">
        <f>(IF(追加番明[[#This Row],[請求種別]]="2",(LEFT(billid095,10)),billid095))&amp;""</f>
        <v/>
      </c>
      <c r="E361" t="str">
        <f>UPPER(SUBSTITUTE(追加番明[[#This Row],[ご請求番号]],"-",""))</f>
        <v/>
      </c>
      <c r="F361" s="129"/>
      <c r="G361" s="129"/>
      <c r="H361" s="129"/>
      <c r="I361" s="129"/>
      <c r="J361" s="129"/>
      <c r="K361" s="129"/>
      <c r="L361" t="b">
        <f>IF(newbillingStationCustomerNumberOnly="",FALSE,shutoku095)</f>
        <v>0</v>
      </c>
    </row>
    <row r="362" spans="1:12">
      <c r="A362">
        <v>96</v>
      </c>
      <c r="B362" t="s">
        <v>69</v>
      </c>
      <c r="C362" t="str">
        <f>shubetsu096&amp;""</f>
        <v/>
      </c>
      <c r="D362" t="str">
        <f>(IF(追加番明[[#This Row],[請求種別]]="2",(LEFT(billid096,10)),billid096))&amp;""</f>
        <v/>
      </c>
      <c r="E362" t="str">
        <f>UPPER(SUBSTITUTE(追加番明[[#This Row],[ご請求番号]],"-",""))</f>
        <v/>
      </c>
      <c r="F362" s="129"/>
      <c r="G362" s="129"/>
      <c r="H362" s="129"/>
      <c r="I362" s="129"/>
      <c r="J362" s="129"/>
      <c r="K362" s="129"/>
      <c r="L362" t="b">
        <f>IF(newbillingStationCustomerNumberOnly="",FALSE,shutoku096)</f>
        <v>0</v>
      </c>
    </row>
    <row r="363" spans="1:12">
      <c r="A363">
        <v>97</v>
      </c>
      <c r="B363" t="s">
        <v>69</v>
      </c>
      <c r="C363" t="str">
        <f>shubetsu097&amp;""</f>
        <v/>
      </c>
      <c r="D363" t="str">
        <f>(IF(追加番明[[#This Row],[請求種別]]="2",(LEFT(billid097,10)),billid097))&amp;""</f>
        <v/>
      </c>
      <c r="E363" t="str">
        <f>UPPER(SUBSTITUTE(追加番明[[#This Row],[ご請求番号]],"-",""))</f>
        <v/>
      </c>
      <c r="F363" s="129"/>
      <c r="G363" s="129"/>
      <c r="H363" s="129"/>
      <c r="I363" s="129"/>
      <c r="J363" s="129"/>
      <c r="K363" s="129"/>
      <c r="L363" t="b">
        <f>IF(newbillingStationCustomerNumberOnly="",FALSE,shutoku097)</f>
        <v>0</v>
      </c>
    </row>
    <row r="364" spans="1:12">
      <c r="A364">
        <v>98</v>
      </c>
      <c r="B364" t="s">
        <v>69</v>
      </c>
      <c r="C364" t="str">
        <f>shubetsu098&amp;""</f>
        <v/>
      </c>
      <c r="D364" t="str">
        <f>(IF(追加番明[[#This Row],[請求種別]]="2",(LEFT(billid098,10)),billid098))&amp;""</f>
        <v/>
      </c>
      <c r="E364" t="str">
        <f>UPPER(SUBSTITUTE(追加番明[[#This Row],[ご請求番号]],"-",""))</f>
        <v/>
      </c>
      <c r="F364" s="129"/>
      <c r="G364" s="129"/>
      <c r="H364" s="129"/>
      <c r="I364" s="129"/>
      <c r="J364" s="129"/>
      <c r="K364" s="129"/>
      <c r="L364" t="b">
        <f>IF(newbillingStationCustomerNumberOnly="",FALSE,shutoku098)</f>
        <v>0</v>
      </c>
    </row>
    <row r="365" spans="1:12">
      <c r="A365">
        <v>99</v>
      </c>
      <c r="B365" t="s">
        <v>69</v>
      </c>
      <c r="C365" t="str">
        <f>shubetsu099&amp;""</f>
        <v/>
      </c>
      <c r="D365" t="str">
        <f>(IF(追加番明[[#This Row],[請求種別]]="2",(LEFT(billid099,10)),billid099))&amp;""</f>
        <v/>
      </c>
      <c r="E365" t="str">
        <f>UPPER(SUBSTITUTE(追加番明[[#This Row],[ご請求番号]],"-",""))</f>
        <v/>
      </c>
      <c r="F365" s="129"/>
      <c r="G365" s="129"/>
      <c r="H365" s="129"/>
      <c r="I365" s="129"/>
      <c r="J365" s="129"/>
      <c r="K365" s="129"/>
      <c r="L365" t="b">
        <f>IF(newbillingStationCustomerNumberOnly="",FALSE,shutoku099)</f>
        <v>0</v>
      </c>
    </row>
    <row r="366" spans="1:12">
      <c r="A366">
        <v>100</v>
      </c>
      <c r="B366" t="s">
        <v>69</v>
      </c>
      <c r="C366" t="str">
        <f>shubetsu100&amp;""</f>
        <v/>
      </c>
      <c r="D366" t="str">
        <f>(IF(追加番明[[#This Row],[請求種別]]="2",(LEFT(billid100,10)),billid100))&amp;""</f>
        <v/>
      </c>
      <c r="E366" t="str">
        <f>UPPER(SUBSTITUTE(追加番明[[#This Row],[ご請求番号]],"-",""))</f>
        <v/>
      </c>
      <c r="F366" s="129"/>
      <c r="G366" s="129"/>
      <c r="H366" s="129"/>
      <c r="I366" s="129"/>
      <c r="J366" s="129"/>
      <c r="K366" s="129"/>
      <c r="L366" t="b">
        <f>IF(newbillingStationCustomerNumberOnly="",FALSE,shutoku100)</f>
        <v>0</v>
      </c>
    </row>
    <row r="367" spans="1:12">
      <c r="A367">
        <v>101</v>
      </c>
      <c r="B367" t="s">
        <v>69</v>
      </c>
      <c r="C367" t="str">
        <f>shubetsu101&amp;""</f>
        <v/>
      </c>
      <c r="D367" t="str">
        <f>(IF(追加番明[[#This Row],[請求種別]]="2",(LEFT(billid101,10)),billid101))&amp;""</f>
        <v/>
      </c>
      <c r="E367" t="str">
        <f>UPPER(SUBSTITUTE(追加番明[[#This Row],[ご請求番号]],"-",""))</f>
        <v/>
      </c>
      <c r="F367" s="129"/>
      <c r="G367" s="129"/>
      <c r="H367" s="129"/>
      <c r="I367" s="129"/>
      <c r="J367" s="129"/>
      <c r="K367" s="129"/>
      <c r="L367" t="b">
        <f>IF(newbillingStationCustomerNumberOnly="",FALSE,shutoku101)</f>
        <v>0</v>
      </c>
    </row>
    <row r="368" spans="1:12">
      <c r="A368">
        <v>102</v>
      </c>
      <c r="B368" t="s">
        <v>69</v>
      </c>
      <c r="C368" t="str">
        <f>shubetsu102&amp;""</f>
        <v/>
      </c>
      <c r="D368" t="str">
        <f>(IF(追加番明[[#This Row],[請求種別]]="2",(LEFT(billid102,10)),billid102))&amp;""</f>
        <v/>
      </c>
      <c r="E368" t="str">
        <f>UPPER(SUBSTITUTE(追加番明[[#This Row],[ご請求番号]],"-",""))</f>
        <v/>
      </c>
      <c r="F368" s="129"/>
      <c r="G368" s="129"/>
      <c r="H368" s="129"/>
      <c r="I368" s="129"/>
      <c r="J368" s="129"/>
      <c r="K368" s="129"/>
      <c r="L368" t="b">
        <f>IF(newbillingStationCustomerNumberOnly="",FALSE,shutoku102)</f>
        <v>0</v>
      </c>
    </row>
    <row r="369" spans="1:12">
      <c r="A369">
        <v>103</v>
      </c>
      <c r="B369" t="s">
        <v>69</v>
      </c>
      <c r="C369" t="str">
        <f>shubetsu103&amp;""</f>
        <v/>
      </c>
      <c r="D369" t="str">
        <f>(IF(追加番明[[#This Row],[請求種別]]="2",(LEFT(billid103,10)),billid103))&amp;""</f>
        <v/>
      </c>
      <c r="E369" t="str">
        <f>UPPER(SUBSTITUTE(追加番明[[#This Row],[ご請求番号]],"-",""))</f>
        <v/>
      </c>
      <c r="F369" s="129"/>
      <c r="G369" s="129"/>
      <c r="H369" s="129"/>
      <c r="I369" s="129"/>
      <c r="J369" s="129"/>
      <c r="K369" s="129"/>
      <c r="L369" t="b">
        <f>IF(newbillingStationCustomerNumberOnly="",FALSE,shutoku103)</f>
        <v>0</v>
      </c>
    </row>
    <row r="370" spans="1:12">
      <c r="A370">
        <v>104</v>
      </c>
      <c r="B370" t="s">
        <v>69</v>
      </c>
      <c r="C370" t="str">
        <f>shubetsu104&amp;""</f>
        <v/>
      </c>
      <c r="D370" t="str">
        <f>(IF(追加番明[[#This Row],[請求種別]]="2",(LEFT(billid104,10)),billid104))&amp;""</f>
        <v/>
      </c>
      <c r="E370" t="str">
        <f>UPPER(SUBSTITUTE(追加番明[[#This Row],[ご請求番号]],"-",""))</f>
        <v/>
      </c>
      <c r="F370" s="129"/>
      <c r="G370" s="129"/>
      <c r="H370" s="129"/>
      <c r="I370" s="129"/>
      <c r="J370" s="129"/>
      <c r="K370" s="129"/>
      <c r="L370" t="b">
        <f>IF(newbillingStationCustomerNumberOnly="",FALSE,shutoku104)</f>
        <v>0</v>
      </c>
    </row>
    <row r="371" spans="1:12">
      <c r="A371">
        <v>105</v>
      </c>
      <c r="B371" t="s">
        <v>69</v>
      </c>
      <c r="C371" t="str">
        <f>shubetsu105&amp;""</f>
        <v/>
      </c>
      <c r="D371" t="str">
        <f>(IF(追加番明[[#This Row],[請求種別]]="2",(LEFT(billid105,10)),billid105))&amp;""</f>
        <v/>
      </c>
      <c r="E371" t="str">
        <f>UPPER(SUBSTITUTE(追加番明[[#This Row],[ご請求番号]],"-",""))</f>
        <v/>
      </c>
      <c r="F371" s="129"/>
      <c r="G371" s="129"/>
      <c r="H371" s="129"/>
      <c r="I371" s="129"/>
      <c r="J371" s="129"/>
      <c r="K371" s="129"/>
      <c r="L371" t="b">
        <f>IF(newbillingStationCustomerNumberOnly="",FALSE,shutoku105)</f>
        <v>0</v>
      </c>
    </row>
    <row r="372" spans="1:12">
      <c r="A372">
        <v>106</v>
      </c>
      <c r="B372" t="s">
        <v>69</v>
      </c>
      <c r="C372" t="str">
        <f>shubetsu106&amp;""</f>
        <v/>
      </c>
      <c r="D372" t="str">
        <f>(IF(追加番明[[#This Row],[請求種別]]="2",(LEFT(billid106,10)),billid106))&amp;""</f>
        <v/>
      </c>
      <c r="E372" t="str">
        <f>UPPER(SUBSTITUTE(追加番明[[#This Row],[ご請求番号]],"-",""))</f>
        <v/>
      </c>
      <c r="F372" s="129"/>
      <c r="G372" s="129"/>
      <c r="H372" s="129"/>
      <c r="I372" s="129"/>
      <c r="J372" s="129"/>
      <c r="K372" s="129"/>
      <c r="L372" t="b">
        <f>IF(newbillingStationCustomerNumberOnly="",FALSE,shutoku106)</f>
        <v>0</v>
      </c>
    </row>
    <row r="373" spans="1:12">
      <c r="A373">
        <v>107</v>
      </c>
      <c r="B373" t="s">
        <v>69</v>
      </c>
      <c r="C373" t="str">
        <f>shubetsu107&amp;""</f>
        <v/>
      </c>
      <c r="D373" t="str">
        <f>(IF(追加番明[[#This Row],[請求種別]]="2",(LEFT(billid107,10)),billid107))&amp;""</f>
        <v/>
      </c>
      <c r="E373" t="str">
        <f>UPPER(SUBSTITUTE(追加番明[[#This Row],[ご請求番号]],"-",""))</f>
        <v/>
      </c>
      <c r="F373" s="129"/>
      <c r="G373" s="129"/>
      <c r="H373" s="129"/>
      <c r="I373" s="129"/>
      <c r="J373" s="129"/>
      <c r="K373" s="129"/>
      <c r="L373" t="b">
        <f>IF(newbillingStationCustomerNumberOnly="",FALSE,shutoku107)</f>
        <v>0</v>
      </c>
    </row>
    <row r="374" spans="1:12">
      <c r="A374">
        <v>108</v>
      </c>
      <c r="B374" t="s">
        <v>69</v>
      </c>
      <c r="C374" t="str">
        <f>shubetsu108&amp;""</f>
        <v/>
      </c>
      <c r="D374" t="str">
        <f>(IF(追加番明[[#This Row],[請求種別]]="2",(LEFT(billid108,10)),billid108))&amp;""</f>
        <v/>
      </c>
      <c r="E374" t="str">
        <f>UPPER(SUBSTITUTE(追加番明[[#This Row],[ご請求番号]],"-",""))</f>
        <v/>
      </c>
      <c r="F374" s="129"/>
      <c r="G374" s="129"/>
      <c r="H374" s="129"/>
      <c r="I374" s="129"/>
      <c r="J374" s="129"/>
      <c r="K374" s="129"/>
      <c r="L374" t="b">
        <f>IF(newbillingStationCustomerNumberOnly="",FALSE,shutoku108)</f>
        <v>0</v>
      </c>
    </row>
    <row r="375" spans="1:12">
      <c r="A375">
        <v>109</v>
      </c>
      <c r="B375" t="s">
        <v>69</v>
      </c>
      <c r="C375" t="str">
        <f>shubetsu109&amp;""</f>
        <v/>
      </c>
      <c r="D375" t="str">
        <f>(IF(追加番明[[#This Row],[請求種別]]="2",(LEFT(billid109,10)),billid109))&amp;""</f>
        <v/>
      </c>
      <c r="E375" t="str">
        <f>UPPER(SUBSTITUTE(追加番明[[#This Row],[ご請求番号]],"-",""))</f>
        <v/>
      </c>
      <c r="F375" s="129"/>
      <c r="G375" s="129"/>
      <c r="H375" s="129"/>
      <c r="I375" s="129"/>
      <c r="J375" s="129"/>
      <c r="K375" s="129"/>
      <c r="L375" t="b">
        <f>IF(newbillingStationCustomerNumberOnly="",FALSE,shutoku109)</f>
        <v>0</v>
      </c>
    </row>
    <row r="376" spans="1:12">
      <c r="A376">
        <v>110</v>
      </c>
      <c r="B376" t="s">
        <v>69</v>
      </c>
      <c r="C376" t="str">
        <f>shubetsu110&amp;""</f>
        <v/>
      </c>
      <c r="D376" t="str">
        <f>(IF(追加番明[[#This Row],[請求種別]]="2",(LEFT(billid110,10)),billid110))&amp;""</f>
        <v/>
      </c>
      <c r="E376" t="str">
        <f>UPPER(SUBSTITUTE(追加番明[[#This Row],[ご請求番号]],"-",""))</f>
        <v/>
      </c>
      <c r="F376" s="129"/>
      <c r="G376" s="129"/>
      <c r="H376" s="129"/>
      <c r="I376" s="129"/>
      <c r="J376" s="129"/>
      <c r="K376" s="129"/>
      <c r="L376" t="b">
        <f>IF(newbillingStationCustomerNumberOnly="",FALSE,shutoku110)</f>
        <v>0</v>
      </c>
    </row>
    <row r="377" spans="1:12">
      <c r="A377">
        <v>111</v>
      </c>
      <c r="B377" t="s">
        <v>69</v>
      </c>
      <c r="C377" t="str">
        <f>shubetsu111&amp;""</f>
        <v/>
      </c>
      <c r="D377" t="str">
        <f>(IF(追加番明[[#This Row],[請求種別]]="2",(LEFT(billid111,10)),billid111))&amp;""</f>
        <v/>
      </c>
      <c r="E377" t="str">
        <f>UPPER(SUBSTITUTE(追加番明[[#This Row],[ご請求番号]],"-",""))</f>
        <v/>
      </c>
      <c r="F377" s="129"/>
      <c r="G377" s="129"/>
      <c r="H377" s="129"/>
      <c r="I377" s="129"/>
      <c r="J377" s="129"/>
      <c r="K377" s="129"/>
      <c r="L377" t="b">
        <f>IF(newbillingStationCustomerNumberOnly="",FALSE,shutoku111)</f>
        <v>0</v>
      </c>
    </row>
    <row r="378" spans="1:12">
      <c r="A378">
        <v>112</v>
      </c>
      <c r="B378" t="s">
        <v>69</v>
      </c>
      <c r="C378" t="str">
        <f>shubetsu112&amp;""</f>
        <v/>
      </c>
      <c r="D378" t="str">
        <f>(IF(追加番明[[#This Row],[請求種別]]="2",(LEFT(billid112,10)),billid112))&amp;""</f>
        <v/>
      </c>
      <c r="E378" t="str">
        <f>UPPER(SUBSTITUTE(追加番明[[#This Row],[ご請求番号]],"-",""))</f>
        <v/>
      </c>
      <c r="F378" s="129"/>
      <c r="G378" s="129"/>
      <c r="H378" s="129"/>
      <c r="I378" s="129"/>
      <c r="J378" s="129"/>
      <c r="K378" s="129"/>
      <c r="L378" t="b">
        <f>IF(newbillingStationCustomerNumberOnly="",FALSE,shutoku112)</f>
        <v>0</v>
      </c>
    </row>
    <row r="379" spans="1:12">
      <c r="A379">
        <v>113</v>
      </c>
      <c r="B379" t="s">
        <v>69</v>
      </c>
      <c r="C379" t="str">
        <f>shubetsu113&amp;""</f>
        <v/>
      </c>
      <c r="D379" t="str">
        <f>(IF(追加番明[[#This Row],[請求種別]]="2",(LEFT(billid113,10)),billid113))&amp;""</f>
        <v/>
      </c>
      <c r="E379" t="str">
        <f>UPPER(SUBSTITUTE(追加番明[[#This Row],[ご請求番号]],"-",""))</f>
        <v/>
      </c>
      <c r="F379" s="129"/>
      <c r="G379" s="129"/>
      <c r="H379" s="129"/>
      <c r="I379" s="129"/>
      <c r="J379" s="129"/>
      <c r="K379" s="129"/>
      <c r="L379" t="b">
        <f>IF(newbillingStationCustomerNumberOnly="",FALSE,shutoku113)</f>
        <v>0</v>
      </c>
    </row>
    <row r="380" spans="1:12">
      <c r="A380">
        <v>114</v>
      </c>
      <c r="B380" t="s">
        <v>69</v>
      </c>
      <c r="C380" t="str">
        <f>shubetsu114&amp;""</f>
        <v/>
      </c>
      <c r="D380" t="str">
        <f>(IF(追加番明[[#This Row],[請求種別]]="2",(LEFT(billid114,10)),billid114))&amp;""</f>
        <v/>
      </c>
      <c r="E380" t="str">
        <f>UPPER(SUBSTITUTE(追加番明[[#This Row],[ご請求番号]],"-",""))</f>
        <v/>
      </c>
      <c r="F380" s="129"/>
      <c r="G380" s="129"/>
      <c r="H380" s="129"/>
      <c r="I380" s="129"/>
      <c r="J380" s="129"/>
      <c r="K380" s="129"/>
      <c r="L380" t="b">
        <f>IF(newbillingStationCustomerNumberOnly="",FALSE,shutoku114)</f>
        <v>0</v>
      </c>
    </row>
    <row r="381" spans="1:12">
      <c r="A381">
        <v>115</v>
      </c>
      <c r="B381" t="s">
        <v>69</v>
      </c>
      <c r="C381" t="str">
        <f>shubetsu115&amp;""</f>
        <v/>
      </c>
      <c r="D381" t="str">
        <f>(IF(追加番明[[#This Row],[請求種別]]="2",(LEFT(billid115,10)),billid115))&amp;""</f>
        <v/>
      </c>
      <c r="E381" t="str">
        <f>UPPER(SUBSTITUTE(追加番明[[#This Row],[ご請求番号]],"-",""))</f>
        <v/>
      </c>
      <c r="F381" s="129"/>
      <c r="G381" s="129"/>
      <c r="H381" s="129"/>
      <c r="I381" s="129"/>
      <c r="J381" s="129"/>
      <c r="K381" s="129"/>
      <c r="L381" t="b">
        <f>IF(newbillingStationCustomerNumberOnly="",FALSE,shutoku115)</f>
        <v>0</v>
      </c>
    </row>
    <row r="382" spans="1:12">
      <c r="A382">
        <v>116</v>
      </c>
      <c r="B382" t="s">
        <v>69</v>
      </c>
      <c r="C382" t="str">
        <f>shubetsu116&amp;""</f>
        <v/>
      </c>
      <c r="D382" t="str">
        <f>(IF(追加番明[[#This Row],[請求種別]]="2",(LEFT(billid116,10)),billid116))&amp;""</f>
        <v/>
      </c>
      <c r="E382" t="str">
        <f>UPPER(SUBSTITUTE(追加番明[[#This Row],[ご請求番号]],"-",""))</f>
        <v/>
      </c>
      <c r="F382" s="129"/>
      <c r="G382" s="129"/>
      <c r="H382" s="129"/>
      <c r="I382" s="129"/>
      <c r="J382" s="129"/>
      <c r="K382" s="129"/>
      <c r="L382" t="b">
        <f>IF(newbillingStationCustomerNumberOnly="",FALSE,shutoku116)</f>
        <v>0</v>
      </c>
    </row>
    <row r="383" spans="1:12">
      <c r="A383">
        <v>117</v>
      </c>
      <c r="B383" t="s">
        <v>69</v>
      </c>
      <c r="C383" t="str">
        <f>shubetsu117&amp;""</f>
        <v/>
      </c>
      <c r="D383" t="str">
        <f>(IF(追加番明[[#This Row],[請求種別]]="2",(LEFT(billid117,10)),billid117))&amp;""</f>
        <v/>
      </c>
      <c r="E383" t="str">
        <f>UPPER(SUBSTITUTE(追加番明[[#This Row],[ご請求番号]],"-",""))</f>
        <v/>
      </c>
      <c r="F383" s="129"/>
      <c r="G383" s="129"/>
      <c r="H383" s="129"/>
      <c r="I383" s="129"/>
      <c r="J383" s="129"/>
      <c r="K383" s="129"/>
      <c r="L383" t="b">
        <f>IF(newbillingStationCustomerNumberOnly="",FALSE,shutoku117)</f>
        <v>0</v>
      </c>
    </row>
    <row r="384" spans="1:12">
      <c r="A384">
        <v>118</v>
      </c>
      <c r="B384" t="s">
        <v>69</v>
      </c>
      <c r="C384" t="str">
        <f>shubetsu118&amp;""</f>
        <v/>
      </c>
      <c r="D384" t="str">
        <f>(IF(追加番明[[#This Row],[請求種別]]="2",(LEFT(billid118,10)),billid118))&amp;""</f>
        <v/>
      </c>
      <c r="E384" t="str">
        <f>UPPER(SUBSTITUTE(追加番明[[#This Row],[ご請求番号]],"-",""))</f>
        <v/>
      </c>
      <c r="F384" s="129"/>
      <c r="G384" s="129"/>
      <c r="H384" s="129"/>
      <c r="I384" s="129"/>
      <c r="J384" s="129"/>
      <c r="K384" s="129"/>
      <c r="L384" t="b">
        <f>IF(newbillingStationCustomerNumberOnly="",FALSE,shutoku118)</f>
        <v>0</v>
      </c>
    </row>
    <row r="385" spans="1:12">
      <c r="A385">
        <v>119</v>
      </c>
      <c r="B385" t="s">
        <v>69</v>
      </c>
      <c r="C385" t="str">
        <f>shubetsu119&amp;""</f>
        <v/>
      </c>
      <c r="D385" t="str">
        <f>(IF(追加番明[[#This Row],[請求種別]]="2",(LEFT(billid119,10)),billid119))&amp;""</f>
        <v/>
      </c>
      <c r="E385" t="str">
        <f>UPPER(SUBSTITUTE(追加番明[[#This Row],[ご請求番号]],"-",""))</f>
        <v/>
      </c>
      <c r="F385" s="129"/>
      <c r="G385" s="129"/>
      <c r="H385" s="129"/>
      <c r="I385" s="129"/>
      <c r="J385" s="129"/>
      <c r="K385" s="129"/>
      <c r="L385" t="b">
        <f>IF(newbillingStationCustomerNumberOnly="",FALSE,shutoku119)</f>
        <v>0</v>
      </c>
    </row>
    <row r="386" spans="1:12">
      <c r="A386">
        <v>120</v>
      </c>
      <c r="B386" t="s">
        <v>69</v>
      </c>
      <c r="C386" t="str">
        <f>shubetsu120&amp;""</f>
        <v/>
      </c>
      <c r="D386" t="str">
        <f>(IF(追加番明[[#This Row],[請求種別]]="2",(LEFT(billid120,10)),billid120))&amp;""</f>
        <v/>
      </c>
      <c r="E386" t="str">
        <f>UPPER(SUBSTITUTE(追加番明[[#This Row],[ご請求番号]],"-",""))</f>
        <v/>
      </c>
      <c r="F386" s="129"/>
      <c r="G386" s="129"/>
      <c r="H386" s="129"/>
      <c r="I386" s="129"/>
      <c r="J386" s="129"/>
      <c r="K386" s="129"/>
      <c r="L386" t="b">
        <f>IF(newbillingStationCustomerNumberOnly="",FALSE,shutoku120)</f>
        <v>0</v>
      </c>
    </row>
    <row r="387" spans="1:12">
      <c r="A387">
        <v>121</v>
      </c>
      <c r="B387" t="s">
        <v>69</v>
      </c>
      <c r="C387" t="str">
        <f>shubetsu121&amp;""</f>
        <v/>
      </c>
      <c r="D387" t="str">
        <f>(IF(追加番明[[#This Row],[請求種別]]="2",(LEFT(billid121,10)),billid121))&amp;""</f>
        <v/>
      </c>
      <c r="E387" t="str">
        <f>UPPER(SUBSTITUTE(追加番明[[#This Row],[ご請求番号]],"-",""))</f>
        <v/>
      </c>
      <c r="F387" s="129"/>
      <c r="G387" s="129"/>
      <c r="H387" s="129"/>
      <c r="I387" s="129"/>
      <c r="J387" s="129"/>
      <c r="K387" s="129"/>
      <c r="L387" t="b">
        <f>IF(newbillingStationCustomerNumberOnly="",FALSE,shutoku121)</f>
        <v>0</v>
      </c>
    </row>
    <row r="388" spans="1:12">
      <c r="A388">
        <v>122</v>
      </c>
      <c r="B388" t="s">
        <v>69</v>
      </c>
      <c r="C388" t="str">
        <f>shubetsu122&amp;""</f>
        <v/>
      </c>
      <c r="D388" t="str">
        <f>(IF(追加番明[[#This Row],[請求種別]]="2",(LEFT(billid122,10)),billid122))&amp;""</f>
        <v/>
      </c>
      <c r="E388" t="str">
        <f>UPPER(SUBSTITUTE(追加番明[[#This Row],[ご請求番号]],"-",""))</f>
        <v/>
      </c>
      <c r="F388" s="129"/>
      <c r="G388" s="129"/>
      <c r="H388" s="129"/>
      <c r="I388" s="129"/>
      <c r="J388" s="129"/>
      <c r="K388" s="129"/>
      <c r="L388" t="b">
        <f>IF(newbillingStationCustomerNumberOnly="",FALSE,shutoku122)</f>
        <v>0</v>
      </c>
    </row>
    <row r="389" spans="1:12">
      <c r="A389">
        <v>123</v>
      </c>
      <c r="B389" t="s">
        <v>69</v>
      </c>
      <c r="C389" t="str">
        <f>shubetsu123&amp;""</f>
        <v/>
      </c>
      <c r="D389" t="str">
        <f>(IF(追加番明[[#This Row],[請求種別]]="2",(LEFT(billid123,10)),billid123))&amp;""</f>
        <v/>
      </c>
      <c r="E389" t="str">
        <f>UPPER(SUBSTITUTE(追加番明[[#This Row],[ご請求番号]],"-",""))</f>
        <v/>
      </c>
      <c r="F389" s="129"/>
      <c r="G389" s="129"/>
      <c r="H389" s="129"/>
      <c r="I389" s="129"/>
      <c r="J389" s="129"/>
      <c r="K389" s="129"/>
      <c r="L389" t="b">
        <f>IF(newbillingStationCustomerNumberOnly="",FALSE,shutoku123)</f>
        <v>0</v>
      </c>
    </row>
    <row r="390" spans="1:12">
      <c r="A390">
        <v>124</v>
      </c>
      <c r="B390" t="s">
        <v>69</v>
      </c>
      <c r="C390" t="str">
        <f>shubetsu124&amp;""</f>
        <v/>
      </c>
      <c r="D390" t="str">
        <f>(IF(追加番明[[#This Row],[請求種別]]="2",(LEFT(billid124,10)),billid124))&amp;""</f>
        <v/>
      </c>
      <c r="E390" t="str">
        <f>UPPER(SUBSTITUTE(追加番明[[#This Row],[ご請求番号]],"-",""))</f>
        <v/>
      </c>
      <c r="F390" s="129"/>
      <c r="G390" s="129"/>
      <c r="H390" s="129"/>
      <c r="I390" s="129"/>
      <c r="J390" s="129"/>
      <c r="K390" s="129"/>
      <c r="L390" t="b">
        <f>IF(newbillingStationCustomerNumberOnly="",FALSE,shutoku124)</f>
        <v>0</v>
      </c>
    </row>
    <row r="391" spans="1:12">
      <c r="A391">
        <v>125</v>
      </c>
      <c r="B391" t="s">
        <v>69</v>
      </c>
      <c r="C391" t="str">
        <f>shubetsu125&amp;""</f>
        <v/>
      </c>
      <c r="D391" t="str">
        <f>(IF(追加番明[[#This Row],[請求種別]]="2",(LEFT(billid125,10)),billid125))&amp;""</f>
        <v/>
      </c>
      <c r="E391" t="str">
        <f>UPPER(SUBSTITUTE(追加番明[[#This Row],[ご請求番号]],"-",""))</f>
        <v/>
      </c>
      <c r="F391" s="129"/>
      <c r="G391" s="129"/>
      <c r="H391" s="129"/>
      <c r="I391" s="129"/>
      <c r="J391" s="129"/>
      <c r="K391" s="129"/>
      <c r="L391" t="b">
        <f>IF(newbillingStationCustomerNumberOnly="",FALSE,shutoku125)</f>
        <v>0</v>
      </c>
    </row>
    <row r="392" spans="1:12">
      <c r="A392">
        <v>126</v>
      </c>
      <c r="B392" t="s">
        <v>69</v>
      </c>
      <c r="C392" t="str">
        <f>shubetsu126&amp;""</f>
        <v/>
      </c>
      <c r="D392" t="str">
        <f>(IF(追加番明[[#This Row],[請求種別]]="2",(LEFT(billid126,10)),billid126))&amp;""</f>
        <v/>
      </c>
      <c r="E392" t="str">
        <f>UPPER(SUBSTITUTE(追加番明[[#This Row],[ご請求番号]],"-",""))</f>
        <v/>
      </c>
      <c r="F392" s="129"/>
      <c r="G392" s="129"/>
      <c r="H392" s="129"/>
      <c r="I392" s="129"/>
      <c r="J392" s="129"/>
      <c r="K392" s="129"/>
      <c r="L392" t="b">
        <f>IF(newbillingStationCustomerNumberOnly="",FALSE,shutoku126)</f>
        <v>0</v>
      </c>
    </row>
    <row r="393" spans="1:12">
      <c r="A393">
        <v>127</v>
      </c>
      <c r="B393" t="s">
        <v>69</v>
      </c>
      <c r="C393" t="str">
        <f>shubetsu127&amp;""</f>
        <v/>
      </c>
      <c r="D393" t="str">
        <f>(IF(追加番明[[#This Row],[請求種別]]="2",(LEFT(billid127,10)),billid127))&amp;""</f>
        <v/>
      </c>
      <c r="E393" t="str">
        <f>UPPER(SUBSTITUTE(追加番明[[#This Row],[ご請求番号]],"-",""))</f>
        <v/>
      </c>
      <c r="F393" s="129"/>
      <c r="G393" s="129"/>
      <c r="H393" s="129"/>
      <c r="I393" s="129"/>
      <c r="J393" s="129"/>
      <c r="K393" s="129"/>
      <c r="L393" t="b">
        <f>IF(newbillingStationCustomerNumberOnly="",FALSE,shutoku127)</f>
        <v>0</v>
      </c>
    </row>
    <row r="394" spans="1:12">
      <c r="A394">
        <v>128</v>
      </c>
      <c r="B394" t="s">
        <v>69</v>
      </c>
      <c r="C394" t="str">
        <f>shubetsu128&amp;""</f>
        <v/>
      </c>
      <c r="D394" t="str">
        <f>(IF(追加番明[[#This Row],[請求種別]]="2",(LEFT(billid128,10)),billid128))&amp;""</f>
        <v/>
      </c>
      <c r="E394" t="str">
        <f>UPPER(SUBSTITUTE(追加番明[[#This Row],[ご請求番号]],"-",""))</f>
        <v/>
      </c>
      <c r="F394" s="129"/>
      <c r="G394" s="129"/>
      <c r="H394" s="129"/>
      <c r="I394" s="129"/>
      <c r="J394" s="129"/>
      <c r="K394" s="129"/>
      <c r="L394" t="b">
        <f>IF(newbillingStationCustomerNumberOnly="",FALSE,shutoku128)</f>
        <v>0</v>
      </c>
    </row>
    <row r="395" spans="1:12">
      <c r="A395">
        <v>129</v>
      </c>
      <c r="B395" t="s">
        <v>69</v>
      </c>
      <c r="C395" t="str">
        <f>shubetsu129&amp;""</f>
        <v/>
      </c>
      <c r="D395" t="str">
        <f>(IF(追加番明[[#This Row],[請求種別]]="2",(LEFT(billid129,10)),billid129))&amp;""</f>
        <v/>
      </c>
      <c r="E395" t="str">
        <f>UPPER(SUBSTITUTE(追加番明[[#This Row],[ご請求番号]],"-",""))</f>
        <v/>
      </c>
      <c r="F395" s="129"/>
      <c r="G395" s="129"/>
      <c r="H395" s="129"/>
      <c r="I395" s="129"/>
      <c r="J395" s="129"/>
      <c r="K395" s="129"/>
      <c r="L395" t="b">
        <f>IF(newbillingStationCustomerNumberOnly="",FALSE,shutoku129)</f>
        <v>0</v>
      </c>
    </row>
    <row r="396" spans="1:12">
      <c r="A396">
        <v>130</v>
      </c>
      <c r="B396" t="s">
        <v>69</v>
      </c>
      <c r="C396" t="str">
        <f>shubetsu130&amp;""</f>
        <v/>
      </c>
      <c r="D396" t="str">
        <f>(IF(追加番明[[#This Row],[請求種別]]="2",(LEFT(billid130,10)),billid130))&amp;""</f>
        <v/>
      </c>
      <c r="E396" t="str">
        <f>UPPER(SUBSTITUTE(追加番明[[#This Row],[ご請求番号]],"-",""))</f>
        <v/>
      </c>
      <c r="F396" s="129"/>
      <c r="G396" s="129"/>
      <c r="H396" s="129"/>
      <c r="I396" s="129"/>
      <c r="J396" s="129"/>
      <c r="K396" s="129"/>
      <c r="L396" t="b">
        <f>IF(newbillingStationCustomerNumberOnly="",FALSE,shutoku130)</f>
        <v>0</v>
      </c>
    </row>
    <row r="397" spans="1:12">
      <c r="A397">
        <v>131</v>
      </c>
      <c r="B397" t="s">
        <v>69</v>
      </c>
      <c r="C397" t="str">
        <f>shubetsu131&amp;""</f>
        <v/>
      </c>
      <c r="D397" t="str">
        <f>(IF(追加番明[[#This Row],[請求種別]]="2",(LEFT(billid131,10)),billid131))&amp;""</f>
        <v/>
      </c>
      <c r="E397" t="str">
        <f>UPPER(SUBSTITUTE(追加番明[[#This Row],[ご請求番号]],"-",""))</f>
        <v/>
      </c>
      <c r="F397" s="129"/>
      <c r="G397" s="129"/>
      <c r="H397" s="129"/>
      <c r="I397" s="129"/>
      <c r="J397" s="129"/>
      <c r="K397" s="129"/>
      <c r="L397" t="b">
        <f>IF(newbillingStationCustomerNumberOnly="",FALSE,shutoku131)</f>
        <v>0</v>
      </c>
    </row>
    <row r="398" spans="1:12">
      <c r="A398">
        <v>132</v>
      </c>
      <c r="B398" t="s">
        <v>69</v>
      </c>
      <c r="C398" t="str">
        <f>shubetsu132&amp;""</f>
        <v/>
      </c>
      <c r="D398" t="str">
        <f>(IF(追加番明[[#This Row],[請求種別]]="2",(LEFT(billid132,10)),billid132))&amp;""</f>
        <v/>
      </c>
      <c r="E398" t="str">
        <f>UPPER(SUBSTITUTE(追加番明[[#This Row],[ご請求番号]],"-",""))</f>
        <v/>
      </c>
      <c r="F398" s="129"/>
      <c r="G398" s="129"/>
      <c r="H398" s="129"/>
      <c r="I398" s="129"/>
      <c r="J398" s="129"/>
      <c r="K398" s="129"/>
      <c r="L398" t="b">
        <f>IF(newbillingStationCustomerNumberOnly="",FALSE,shutoku132)</f>
        <v>0</v>
      </c>
    </row>
    <row r="399" spans="1:12">
      <c r="A399">
        <v>133</v>
      </c>
      <c r="B399" t="s">
        <v>69</v>
      </c>
      <c r="C399" t="str">
        <f>shubetsu133&amp;""</f>
        <v/>
      </c>
      <c r="D399" t="str">
        <f>(IF(追加番明[[#This Row],[請求種別]]="2",(LEFT(billid133,10)),billid133))&amp;""</f>
        <v/>
      </c>
      <c r="E399" t="str">
        <f>UPPER(SUBSTITUTE(追加番明[[#This Row],[ご請求番号]],"-",""))</f>
        <v/>
      </c>
      <c r="F399" s="129"/>
      <c r="G399" s="129"/>
      <c r="H399" s="129"/>
      <c r="I399" s="129"/>
      <c r="J399" s="129"/>
      <c r="K399" s="129"/>
      <c r="L399" t="b">
        <f>IF(newbillingStationCustomerNumberOnly="",FALSE,shutoku133)</f>
        <v>0</v>
      </c>
    </row>
    <row r="400" spans="1:12">
      <c r="A400">
        <v>134</v>
      </c>
      <c r="B400" t="s">
        <v>69</v>
      </c>
      <c r="C400" t="str">
        <f>shubetsu134&amp;""</f>
        <v/>
      </c>
      <c r="D400" t="str">
        <f>(IF(追加番明[[#This Row],[請求種別]]="2",(LEFT(billid134,10)),billid134))&amp;""</f>
        <v/>
      </c>
      <c r="E400" t="str">
        <f>UPPER(SUBSTITUTE(追加番明[[#This Row],[ご請求番号]],"-",""))</f>
        <v/>
      </c>
      <c r="F400" s="129"/>
      <c r="G400" s="129"/>
      <c r="H400" s="129"/>
      <c r="I400" s="129"/>
      <c r="J400" s="129"/>
      <c r="K400" s="129"/>
      <c r="L400" t="b">
        <f>IF(newbillingStationCustomerNumberOnly="",FALSE,shutoku134)</f>
        <v>0</v>
      </c>
    </row>
    <row r="401" spans="1:12">
      <c r="A401">
        <v>135</v>
      </c>
      <c r="B401" t="s">
        <v>69</v>
      </c>
      <c r="C401" t="str">
        <f>shubetsu135&amp;""</f>
        <v/>
      </c>
      <c r="D401" t="str">
        <f>(IF(追加番明[[#This Row],[請求種別]]="2",(LEFT(billid135,10)),billid135))&amp;""</f>
        <v/>
      </c>
      <c r="E401" t="str">
        <f>UPPER(SUBSTITUTE(追加番明[[#This Row],[ご請求番号]],"-",""))</f>
        <v/>
      </c>
      <c r="F401" s="129"/>
      <c r="G401" s="129"/>
      <c r="H401" s="129"/>
      <c r="I401" s="129"/>
      <c r="J401" s="129"/>
      <c r="K401" s="129"/>
      <c r="L401" t="b">
        <f>IF(newbillingStationCustomerNumberOnly="",FALSE,shutoku135)</f>
        <v>0</v>
      </c>
    </row>
    <row r="402" spans="1:12">
      <c r="A402">
        <v>136</v>
      </c>
      <c r="B402" t="s">
        <v>69</v>
      </c>
      <c r="C402" t="str">
        <f>shubetsu136&amp;""</f>
        <v/>
      </c>
      <c r="D402" t="str">
        <f>(IF(追加番明[[#This Row],[請求種別]]="2",(LEFT(billid136,10)),billid136))&amp;""</f>
        <v/>
      </c>
      <c r="E402" t="str">
        <f>UPPER(SUBSTITUTE(追加番明[[#This Row],[ご請求番号]],"-",""))</f>
        <v/>
      </c>
      <c r="F402" s="129"/>
      <c r="G402" s="129"/>
      <c r="H402" s="129"/>
      <c r="I402" s="129"/>
      <c r="J402" s="129"/>
      <c r="K402" s="129"/>
      <c r="L402" t="b">
        <f>IF(newbillingStationCustomerNumberOnly="",FALSE,shutoku136)</f>
        <v>0</v>
      </c>
    </row>
    <row r="403" spans="1:12">
      <c r="A403">
        <v>137</v>
      </c>
      <c r="B403" t="s">
        <v>69</v>
      </c>
      <c r="C403" t="str">
        <f>shubetsu137&amp;""</f>
        <v/>
      </c>
      <c r="D403" t="str">
        <f>(IF(追加番明[[#This Row],[請求種別]]="2",(LEFT(billid137,10)),billid137))&amp;""</f>
        <v/>
      </c>
      <c r="E403" t="str">
        <f>UPPER(SUBSTITUTE(追加番明[[#This Row],[ご請求番号]],"-",""))</f>
        <v/>
      </c>
      <c r="F403" s="129"/>
      <c r="G403" s="129"/>
      <c r="H403" s="129"/>
      <c r="I403" s="129"/>
      <c r="J403" s="129"/>
      <c r="K403" s="129"/>
      <c r="L403" t="b">
        <f>IF(newbillingStationCustomerNumberOnly="",FALSE,shutoku137)</f>
        <v>0</v>
      </c>
    </row>
    <row r="404" spans="1:12">
      <c r="A404">
        <v>138</v>
      </c>
      <c r="B404" t="s">
        <v>69</v>
      </c>
      <c r="C404" t="str">
        <f>shubetsu138&amp;""</f>
        <v/>
      </c>
      <c r="D404" t="str">
        <f>(IF(追加番明[[#This Row],[請求種別]]="2",(LEFT(billid138,10)),billid138))&amp;""</f>
        <v/>
      </c>
      <c r="E404" t="str">
        <f>UPPER(SUBSTITUTE(追加番明[[#This Row],[ご請求番号]],"-",""))</f>
        <v/>
      </c>
      <c r="F404" s="129"/>
      <c r="G404" s="129"/>
      <c r="H404" s="129"/>
      <c r="I404" s="129"/>
      <c r="J404" s="129"/>
      <c r="K404" s="129"/>
      <c r="L404" t="b">
        <f>IF(newbillingStationCustomerNumberOnly="",FALSE,shutoku138)</f>
        <v>0</v>
      </c>
    </row>
    <row r="405" spans="1:12">
      <c r="A405">
        <v>139</v>
      </c>
      <c r="B405" t="s">
        <v>69</v>
      </c>
      <c r="C405" t="str">
        <f>shubetsu139&amp;""</f>
        <v/>
      </c>
      <c r="D405" t="str">
        <f>(IF(追加番明[[#This Row],[請求種別]]="2",(LEFT(billid139,10)),billid139))&amp;""</f>
        <v/>
      </c>
      <c r="E405" t="str">
        <f>UPPER(SUBSTITUTE(追加番明[[#This Row],[ご請求番号]],"-",""))</f>
        <v/>
      </c>
      <c r="F405" s="129"/>
      <c r="G405" s="129"/>
      <c r="H405" s="129"/>
      <c r="I405" s="129"/>
      <c r="J405" s="129"/>
      <c r="K405" s="129"/>
      <c r="L405" t="b">
        <f>IF(newbillingStationCustomerNumberOnly="",FALSE,shutoku139)</f>
        <v>0</v>
      </c>
    </row>
    <row r="406" spans="1:12">
      <c r="A406">
        <v>140</v>
      </c>
      <c r="B406" t="s">
        <v>69</v>
      </c>
      <c r="C406" t="str">
        <f>shubetsu140&amp;""</f>
        <v/>
      </c>
      <c r="D406" t="str">
        <f>(IF(追加番明[[#This Row],[請求種別]]="2",(LEFT(billid140,10)),billid140))&amp;""</f>
        <v/>
      </c>
      <c r="E406" t="str">
        <f>UPPER(SUBSTITUTE(追加番明[[#This Row],[ご請求番号]],"-",""))</f>
        <v/>
      </c>
      <c r="F406" s="129"/>
      <c r="G406" s="129"/>
      <c r="H406" s="129"/>
      <c r="I406" s="129"/>
      <c r="J406" s="129"/>
      <c r="K406" s="129"/>
      <c r="L406" t="b">
        <f>IF(newbillingStationCustomerNumberOnly="",FALSE,shutoku140)</f>
        <v>0</v>
      </c>
    </row>
    <row r="407" spans="1:12">
      <c r="A407">
        <v>141</v>
      </c>
      <c r="B407" t="s">
        <v>69</v>
      </c>
      <c r="C407" t="str">
        <f>shubetsu141&amp;""</f>
        <v/>
      </c>
      <c r="D407" t="str">
        <f>(IF(追加番明[[#This Row],[請求種別]]="2",(LEFT(billid141,10)),billid141))&amp;""</f>
        <v/>
      </c>
      <c r="E407" t="str">
        <f>UPPER(SUBSTITUTE(追加番明[[#This Row],[ご請求番号]],"-",""))</f>
        <v/>
      </c>
      <c r="F407" s="129"/>
      <c r="G407" s="129"/>
      <c r="H407" s="129"/>
      <c r="I407" s="129"/>
      <c r="J407" s="129"/>
      <c r="K407" s="129"/>
      <c r="L407" t="b">
        <f>IF(newbillingStationCustomerNumberOnly="",FALSE,shutoku141)</f>
        <v>0</v>
      </c>
    </row>
    <row r="408" spans="1:12">
      <c r="A408">
        <v>142</v>
      </c>
      <c r="B408" t="s">
        <v>69</v>
      </c>
      <c r="C408" t="str">
        <f>shubetsu142&amp;""</f>
        <v/>
      </c>
      <c r="D408" t="str">
        <f>(IF(追加番明[[#This Row],[請求種別]]="2",(LEFT(billid142,10)),billid142))&amp;""</f>
        <v/>
      </c>
      <c r="E408" t="str">
        <f>UPPER(SUBSTITUTE(追加番明[[#This Row],[ご請求番号]],"-",""))</f>
        <v/>
      </c>
      <c r="F408" s="129"/>
      <c r="G408" s="129"/>
      <c r="H408" s="129"/>
      <c r="I408" s="129"/>
      <c r="J408" s="129"/>
      <c r="K408" s="129"/>
      <c r="L408" t="b">
        <f>IF(newbillingStationCustomerNumberOnly="",FALSE,shutoku142)</f>
        <v>0</v>
      </c>
    </row>
    <row r="409" spans="1:12">
      <c r="A409">
        <v>143</v>
      </c>
      <c r="B409" t="s">
        <v>69</v>
      </c>
      <c r="C409" t="str">
        <f>shubetsu143&amp;""</f>
        <v/>
      </c>
      <c r="D409" t="str">
        <f>(IF(追加番明[[#This Row],[請求種別]]="2",(LEFT(billid143,10)),billid143))&amp;""</f>
        <v/>
      </c>
      <c r="E409" t="str">
        <f>UPPER(SUBSTITUTE(追加番明[[#This Row],[ご請求番号]],"-",""))</f>
        <v/>
      </c>
      <c r="F409" s="129"/>
      <c r="G409" s="129"/>
      <c r="H409" s="129"/>
      <c r="I409" s="129"/>
      <c r="J409" s="129"/>
      <c r="K409" s="129"/>
      <c r="L409" t="b">
        <f>IF(newbillingStationCustomerNumberOnly="",FALSE,shutoku143)</f>
        <v>0</v>
      </c>
    </row>
    <row r="410" spans="1:12">
      <c r="A410">
        <v>144</v>
      </c>
      <c r="B410" t="s">
        <v>69</v>
      </c>
      <c r="C410" t="str">
        <f>shubetsu144&amp;""</f>
        <v/>
      </c>
      <c r="D410" t="str">
        <f>(IF(追加番明[[#This Row],[請求種別]]="2",(LEFT(billid144,10)),billid144))&amp;""</f>
        <v/>
      </c>
      <c r="E410" t="str">
        <f>UPPER(SUBSTITUTE(追加番明[[#This Row],[ご請求番号]],"-",""))</f>
        <v/>
      </c>
      <c r="F410" s="129"/>
      <c r="G410" s="129"/>
      <c r="H410" s="129"/>
      <c r="I410" s="129"/>
      <c r="J410" s="129"/>
      <c r="K410" s="129"/>
      <c r="L410" t="b">
        <f>IF(newbillingStationCustomerNumberOnly="",FALSE,shutoku144)</f>
        <v>0</v>
      </c>
    </row>
    <row r="411" spans="1:12">
      <c r="A411">
        <v>145</v>
      </c>
      <c r="B411" t="s">
        <v>69</v>
      </c>
      <c r="C411" t="str">
        <f>shubetsu145&amp;""</f>
        <v/>
      </c>
      <c r="D411" t="str">
        <f>(IF(追加番明[[#This Row],[請求種別]]="2",(LEFT(billid145,10)),billid145))&amp;""</f>
        <v/>
      </c>
      <c r="E411" t="str">
        <f>UPPER(SUBSTITUTE(追加番明[[#This Row],[ご請求番号]],"-",""))</f>
        <v/>
      </c>
      <c r="F411" s="129"/>
      <c r="G411" s="129"/>
      <c r="H411" s="129"/>
      <c r="I411" s="129"/>
      <c r="J411" s="129"/>
      <c r="K411" s="129"/>
      <c r="L411" t="b">
        <f>IF(newbillingStationCustomerNumberOnly="",FALSE,shutoku145)</f>
        <v>0</v>
      </c>
    </row>
    <row r="412" spans="1:12">
      <c r="A412">
        <v>146</v>
      </c>
      <c r="B412" t="s">
        <v>69</v>
      </c>
      <c r="C412" t="str">
        <f>shubetsu146&amp;""</f>
        <v/>
      </c>
      <c r="D412" t="str">
        <f>(IF(追加番明[[#This Row],[請求種別]]="2",(LEFT(billid146,10)),billid146))&amp;""</f>
        <v/>
      </c>
      <c r="E412" t="str">
        <f>UPPER(SUBSTITUTE(追加番明[[#This Row],[ご請求番号]],"-",""))</f>
        <v/>
      </c>
      <c r="F412" s="129"/>
      <c r="G412" s="129"/>
      <c r="H412" s="129"/>
      <c r="I412" s="129"/>
      <c r="J412" s="129"/>
      <c r="K412" s="129"/>
      <c r="L412" t="b">
        <f>IF(newbillingStationCustomerNumberOnly="",FALSE,shutoku146)</f>
        <v>0</v>
      </c>
    </row>
    <row r="413" spans="1:12">
      <c r="A413">
        <v>147</v>
      </c>
      <c r="B413" t="s">
        <v>69</v>
      </c>
      <c r="C413" t="str">
        <f>shubetsu147&amp;""</f>
        <v/>
      </c>
      <c r="D413" t="str">
        <f>(IF(追加番明[[#This Row],[請求種別]]="2",(LEFT(billid147,10)),billid147))&amp;""</f>
        <v/>
      </c>
      <c r="E413" t="str">
        <f>UPPER(SUBSTITUTE(追加番明[[#This Row],[ご請求番号]],"-",""))</f>
        <v/>
      </c>
      <c r="F413" s="129"/>
      <c r="G413" s="129"/>
      <c r="H413" s="129"/>
      <c r="I413" s="129"/>
      <c r="J413" s="129"/>
      <c r="K413" s="129"/>
      <c r="L413" t="b">
        <f>IF(newbillingStationCustomerNumberOnly="",FALSE,shutoku147)</f>
        <v>0</v>
      </c>
    </row>
    <row r="414" spans="1:12">
      <c r="A414">
        <v>148</v>
      </c>
      <c r="B414" t="s">
        <v>69</v>
      </c>
      <c r="C414" t="str">
        <f>shubetsu148&amp;""</f>
        <v/>
      </c>
      <c r="D414" t="str">
        <f>(IF(追加番明[[#This Row],[請求種別]]="2",(LEFT(billid148,10)),billid148))&amp;""</f>
        <v/>
      </c>
      <c r="E414" t="str">
        <f>UPPER(SUBSTITUTE(追加番明[[#This Row],[ご請求番号]],"-",""))</f>
        <v/>
      </c>
      <c r="F414" s="129"/>
      <c r="G414" s="129"/>
      <c r="H414" s="129"/>
      <c r="I414" s="129"/>
      <c r="J414" s="129"/>
      <c r="K414" s="129"/>
      <c r="L414" t="b">
        <f>IF(newbillingStationCustomerNumberOnly="",FALSE,shutoku148)</f>
        <v>0</v>
      </c>
    </row>
    <row r="415" spans="1:12">
      <c r="A415">
        <v>149</v>
      </c>
      <c r="B415" t="s">
        <v>69</v>
      </c>
      <c r="C415" t="str">
        <f>shubetsu149&amp;""</f>
        <v/>
      </c>
      <c r="D415" t="str">
        <f>(IF(追加番明[[#This Row],[請求種別]]="2",(LEFT(billid149,10)),billid149))&amp;""</f>
        <v/>
      </c>
      <c r="E415" t="str">
        <f>UPPER(SUBSTITUTE(追加番明[[#This Row],[ご請求番号]],"-",""))</f>
        <v/>
      </c>
      <c r="F415" s="129"/>
      <c r="G415" s="129"/>
      <c r="H415" s="129"/>
      <c r="I415" s="129"/>
      <c r="J415" s="129"/>
      <c r="K415" s="129"/>
      <c r="L415" t="b">
        <f>IF(newbillingStationCustomerNumberOnly="",FALSE,shutoku149)</f>
        <v>0</v>
      </c>
    </row>
    <row r="416" spans="1:12">
      <c r="A416">
        <v>150</v>
      </c>
      <c r="B416" t="s">
        <v>69</v>
      </c>
      <c r="C416" t="str">
        <f>shubetsu150&amp;""</f>
        <v/>
      </c>
      <c r="D416" t="str">
        <f>(IF(追加番明[[#This Row],[請求種別]]="2",(LEFT(billid150,10)),billid150))&amp;""</f>
        <v/>
      </c>
      <c r="E416" t="str">
        <f>UPPER(SUBSTITUTE(追加番明[[#This Row],[ご請求番号]],"-",""))</f>
        <v/>
      </c>
      <c r="F416" s="129"/>
      <c r="G416" s="129"/>
      <c r="H416" s="129"/>
      <c r="I416" s="129"/>
      <c r="J416" s="129"/>
      <c r="K416" s="129"/>
      <c r="L416" t="b">
        <f>IF(newbillingStationCustomerNumberOnly="",FALSE,shutoku150)</f>
        <v>0</v>
      </c>
    </row>
    <row r="417" spans="1:12">
      <c r="A417">
        <v>151</v>
      </c>
      <c r="B417" t="s">
        <v>69</v>
      </c>
      <c r="C417" t="str">
        <f>shubetsu151&amp;""</f>
        <v/>
      </c>
      <c r="D417" t="str">
        <f>(IF(追加番明[[#This Row],[請求種別]]="2",(LEFT(billid151,10)),billid151))&amp;""</f>
        <v/>
      </c>
      <c r="E417" t="str">
        <f>UPPER(SUBSTITUTE(追加番明[[#This Row],[ご請求番号]],"-",""))</f>
        <v/>
      </c>
      <c r="F417" s="129"/>
      <c r="G417" s="129"/>
      <c r="H417" s="129"/>
      <c r="I417" s="129"/>
      <c r="J417" s="129"/>
      <c r="K417" s="129"/>
      <c r="L417" t="b">
        <f>IF(newbillingStationCustomerNumberOnly="",FALSE,shutoku151)</f>
        <v>0</v>
      </c>
    </row>
    <row r="418" spans="1:12">
      <c r="A418">
        <v>152</v>
      </c>
      <c r="B418" t="s">
        <v>69</v>
      </c>
      <c r="C418" t="str">
        <f>shubetsu152&amp;""</f>
        <v/>
      </c>
      <c r="D418" t="str">
        <f>(IF(追加番明[[#This Row],[請求種別]]="2",(LEFT(billid152,10)),billid152))&amp;""</f>
        <v/>
      </c>
      <c r="E418" t="str">
        <f>UPPER(SUBSTITUTE(追加番明[[#This Row],[ご請求番号]],"-",""))</f>
        <v/>
      </c>
      <c r="F418" s="129"/>
      <c r="G418" s="129"/>
      <c r="H418" s="129"/>
      <c r="I418" s="129"/>
      <c r="J418" s="129"/>
      <c r="K418" s="129"/>
      <c r="L418" t="b">
        <f>IF(newbillingStationCustomerNumberOnly="",FALSE,shutoku152)</f>
        <v>0</v>
      </c>
    </row>
    <row r="419" spans="1:12">
      <c r="A419">
        <v>153</v>
      </c>
      <c r="B419" t="s">
        <v>69</v>
      </c>
      <c r="C419" t="str">
        <f>shubetsu153&amp;""</f>
        <v/>
      </c>
      <c r="D419" t="str">
        <f>(IF(追加番明[[#This Row],[請求種別]]="2",(LEFT(billid153,10)),billid153))&amp;""</f>
        <v/>
      </c>
      <c r="E419" t="str">
        <f>UPPER(SUBSTITUTE(追加番明[[#This Row],[ご請求番号]],"-",""))</f>
        <v/>
      </c>
      <c r="F419" s="129"/>
      <c r="G419" s="129"/>
      <c r="H419" s="129"/>
      <c r="I419" s="129"/>
      <c r="J419" s="129"/>
      <c r="K419" s="129"/>
      <c r="L419" t="b">
        <f>IF(newbillingStationCustomerNumberOnly="",FALSE,shutoku153)</f>
        <v>0</v>
      </c>
    </row>
    <row r="420" spans="1:12">
      <c r="A420">
        <v>154</v>
      </c>
      <c r="B420" t="s">
        <v>69</v>
      </c>
      <c r="C420" t="str">
        <f>shubetsu154&amp;""</f>
        <v/>
      </c>
      <c r="D420" t="str">
        <f>(IF(追加番明[[#This Row],[請求種別]]="2",(LEFT(billid154,10)),billid154))&amp;""</f>
        <v/>
      </c>
      <c r="E420" t="str">
        <f>UPPER(SUBSTITUTE(追加番明[[#This Row],[ご請求番号]],"-",""))</f>
        <v/>
      </c>
      <c r="F420" s="129"/>
      <c r="G420" s="129"/>
      <c r="H420" s="129"/>
      <c r="I420" s="129"/>
      <c r="J420" s="129"/>
      <c r="K420" s="129"/>
      <c r="L420" t="b">
        <f>IF(newbillingStationCustomerNumberOnly="",FALSE,shutoku154)</f>
        <v>0</v>
      </c>
    </row>
    <row r="421" spans="1:12">
      <c r="A421">
        <v>155</v>
      </c>
      <c r="B421" t="s">
        <v>69</v>
      </c>
      <c r="C421" t="str">
        <f>shubetsu155&amp;""</f>
        <v/>
      </c>
      <c r="D421" t="str">
        <f>(IF(追加番明[[#This Row],[請求種別]]="2",(LEFT(billid155,10)),billid155))&amp;""</f>
        <v/>
      </c>
      <c r="E421" t="str">
        <f>UPPER(SUBSTITUTE(追加番明[[#This Row],[ご請求番号]],"-",""))</f>
        <v/>
      </c>
      <c r="F421" s="129"/>
      <c r="G421" s="129"/>
      <c r="H421" s="129"/>
      <c r="I421" s="129"/>
      <c r="J421" s="129"/>
      <c r="K421" s="129"/>
      <c r="L421" t="b">
        <f>IF(newbillingStationCustomerNumberOnly="",FALSE,shutoku155)</f>
        <v>0</v>
      </c>
    </row>
    <row r="422" spans="1:12">
      <c r="A422">
        <v>156</v>
      </c>
      <c r="B422" t="s">
        <v>69</v>
      </c>
      <c r="C422" t="str">
        <f>shubetsu156&amp;""</f>
        <v/>
      </c>
      <c r="D422" t="str">
        <f>(IF(追加番明[[#This Row],[請求種別]]="2",(LEFT(billid156,10)),billid156))&amp;""</f>
        <v/>
      </c>
      <c r="E422" t="str">
        <f>UPPER(SUBSTITUTE(追加番明[[#This Row],[ご請求番号]],"-",""))</f>
        <v/>
      </c>
      <c r="F422" s="129"/>
      <c r="G422" s="129"/>
      <c r="H422" s="129"/>
      <c r="I422" s="129"/>
      <c r="J422" s="129"/>
      <c r="K422" s="129"/>
      <c r="L422" t="b">
        <f>IF(newbillingStationCustomerNumberOnly="",FALSE,shutoku156)</f>
        <v>0</v>
      </c>
    </row>
    <row r="423" spans="1:12">
      <c r="A423">
        <v>157</v>
      </c>
      <c r="B423" t="s">
        <v>69</v>
      </c>
      <c r="C423" t="str">
        <f>shubetsu157&amp;""</f>
        <v/>
      </c>
      <c r="D423" t="str">
        <f>(IF(追加番明[[#This Row],[請求種別]]="2",(LEFT(billid157,10)),billid157))&amp;""</f>
        <v/>
      </c>
      <c r="E423" t="str">
        <f>UPPER(SUBSTITUTE(追加番明[[#This Row],[ご請求番号]],"-",""))</f>
        <v/>
      </c>
      <c r="F423" s="129"/>
      <c r="G423" s="129"/>
      <c r="H423" s="129"/>
      <c r="I423" s="129"/>
      <c r="J423" s="129"/>
      <c r="K423" s="129"/>
      <c r="L423" t="b">
        <f>IF(newbillingStationCustomerNumberOnly="",FALSE,shutoku157)</f>
        <v>0</v>
      </c>
    </row>
    <row r="424" spans="1:12">
      <c r="A424">
        <v>158</v>
      </c>
      <c r="B424" t="s">
        <v>69</v>
      </c>
      <c r="C424" t="str">
        <f>shubetsu158&amp;""</f>
        <v/>
      </c>
      <c r="D424" t="str">
        <f>(IF(追加番明[[#This Row],[請求種別]]="2",(LEFT(billid158,10)),billid158))&amp;""</f>
        <v/>
      </c>
      <c r="E424" t="str">
        <f>UPPER(SUBSTITUTE(追加番明[[#This Row],[ご請求番号]],"-",""))</f>
        <v/>
      </c>
      <c r="F424" s="129"/>
      <c r="G424" s="129"/>
      <c r="H424" s="129"/>
      <c r="I424" s="129"/>
      <c r="J424" s="129"/>
      <c r="K424" s="129"/>
      <c r="L424" t="b">
        <f>IF(newbillingStationCustomerNumberOnly="",FALSE,shutoku158)</f>
        <v>0</v>
      </c>
    </row>
    <row r="425" spans="1:12">
      <c r="A425">
        <v>159</v>
      </c>
      <c r="B425" t="s">
        <v>69</v>
      </c>
      <c r="C425" t="str">
        <f>shubetsu159&amp;""</f>
        <v/>
      </c>
      <c r="D425" t="str">
        <f>(IF(追加番明[[#This Row],[請求種別]]="2",(LEFT(billid159,10)),billid159))&amp;""</f>
        <v/>
      </c>
      <c r="E425" t="str">
        <f>UPPER(SUBSTITUTE(追加番明[[#This Row],[ご請求番号]],"-",""))</f>
        <v/>
      </c>
      <c r="F425" s="129"/>
      <c r="G425" s="129"/>
      <c r="H425" s="129"/>
      <c r="I425" s="129"/>
      <c r="J425" s="129"/>
      <c r="K425" s="129"/>
      <c r="L425" t="b">
        <f>IF(newbillingStationCustomerNumberOnly="",FALSE,shutoku159)</f>
        <v>0</v>
      </c>
    </row>
    <row r="426" spans="1:12">
      <c r="A426">
        <v>160</v>
      </c>
      <c r="B426" t="s">
        <v>69</v>
      </c>
      <c r="C426" t="str">
        <f>shubetsu160&amp;""</f>
        <v/>
      </c>
      <c r="D426" t="str">
        <f>(IF(追加番明[[#This Row],[請求種別]]="2",(LEFT(billid160,10)),billid160))&amp;""</f>
        <v/>
      </c>
      <c r="E426" t="str">
        <f>UPPER(SUBSTITUTE(追加番明[[#This Row],[ご請求番号]],"-",""))</f>
        <v/>
      </c>
      <c r="F426" s="129"/>
      <c r="G426" s="129"/>
      <c r="H426" s="129"/>
      <c r="I426" s="129"/>
      <c r="J426" s="129"/>
      <c r="K426" s="129"/>
      <c r="L426" t="b">
        <f>IF(newbillingStationCustomerNumberOnly="",FALSE,shutoku160)</f>
        <v>0</v>
      </c>
    </row>
    <row r="427" spans="1:12">
      <c r="A427">
        <v>161</v>
      </c>
      <c r="B427" t="s">
        <v>69</v>
      </c>
      <c r="C427" t="str">
        <f>shubetsu161&amp;""</f>
        <v/>
      </c>
      <c r="D427" t="str">
        <f>(IF(追加番明[[#This Row],[請求種別]]="2",(LEFT(billid161,10)),billid161))&amp;""</f>
        <v/>
      </c>
      <c r="E427" t="str">
        <f>UPPER(SUBSTITUTE(追加番明[[#This Row],[ご請求番号]],"-",""))</f>
        <v/>
      </c>
      <c r="F427" s="129"/>
      <c r="G427" s="129"/>
      <c r="H427" s="129"/>
      <c r="I427" s="129"/>
      <c r="J427" s="129"/>
      <c r="K427" s="129"/>
      <c r="L427" t="b">
        <f>IF(newbillingStationCustomerNumberOnly="",FALSE,shutoku161)</f>
        <v>0</v>
      </c>
    </row>
    <row r="428" spans="1:12">
      <c r="A428">
        <v>162</v>
      </c>
      <c r="B428" t="s">
        <v>69</v>
      </c>
      <c r="C428" t="str">
        <f>shubetsu162&amp;""</f>
        <v/>
      </c>
      <c r="D428" t="str">
        <f>(IF(追加番明[[#This Row],[請求種別]]="2",(LEFT(billid162,10)),billid162))&amp;""</f>
        <v/>
      </c>
      <c r="E428" t="str">
        <f>UPPER(SUBSTITUTE(追加番明[[#This Row],[ご請求番号]],"-",""))</f>
        <v/>
      </c>
      <c r="F428" s="129"/>
      <c r="G428" s="129"/>
      <c r="H428" s="129"/>
      <c r="I428" s="129"/>
      <c r="J428" s="129"/>
      <c r="K428" s="129"/>
      <c r="L428" t="b">
        <f>IF(newbillingStationCustomerNumberOnly="",FALSE,shutoku162)</f>
        <v>0</v>
      </c>
    </row>
    <row r="429" spans="1:12">
      <c r="A429">
        <v>163</v>
      </c>
      <c r="B429" t="s">
        <v>69</v>
      </c>
      <c r="C429" t="str">
        <f>shubetsu163&amp;""</f>
        <v/>
      </c>
      <c r="D429" t="str">
        <f>(IF(追加番明[[#This Row],[請求種別]]="2",(LEFT(billid163,10)),billid163))&amp;""</f>
        <v/>
      </c>
      <c r="E429" t="str">
        <f>UPPER(SUBSTITUTE(追加番明[[#This Row],[ご請求番号]],"-",""))</f>
        <v/>
      </c>
      <c r="F429" s="129"/>
      <c r="G429" s="129"/>
      <c r="H429" s="129"/>
      <c r="I429" s="129"/>
      <c r="J429" s="129"/>
      <c r="K429" s="129"/>
      <c r="L429" t="b">
        <f>IF(newbillingStationCustomerNumberOnly="",FALSE,shutoku163)</f>
        <v>0</v>
      </c>
    </row>
    <row r="430" spans="1:12">
      <c r="A430">
        <v>164</v>
      </c>
      <c r="B430" t="s">
        <v>69</v>
      </c>
      <c r="C430" t="str">
        <f>shubetsu164&amp;""</f>
        <v/>
      </c>
      <c r="D430" t="str">
        <f>(IF(追加番明[[#This Row],[請求種別]]="2",(LEFT(billid164,10)),billid164))&amp;""</f>
        <v/>
      </c>
      <c r="E430" t="str">
        <f>UPPER(SUBSTITUTE(追加番明[[#This Row],[ご請求番号]],"-",""))</f>
        <v/>
      </c>
      <c r="F430" s="129"/>
      <c r="G430" s="129"/>
      <c r="H430" s="129"/>
      <c r="I430" s="129"/>
      <c r="J430" s="129"/>
      <c r="K430" s="129"/>
      <c r="L430" t="b">
        <f>IF(newbillingStationCustomerNumberOnly="",FALSE,shutoku164)</f>
        <v>0</v>
      </c>
    </row>
    <row r="431" spans="1:12">
      <c r="A431">
        <v>165</v>
      </c>
      <c r="B431" t="s">
        <v>69</v>
      </c>
      <c r="C431" t="str">
        <f>shubetsu165&amp;""</f>
        <v/>
      </c>
      <c r="D431" t="str">
        <f>(IF(追加番明[[#This Row],[請求種別]]="2",(LEFT(billid165,10)),billid165))&amp;""</f>
        <v/>
      </c>
      <c r="E431" t="str">
        <f>UPPER(SUBSTITUTE(追加番明[[#This Row],[ご請求番号]],"-",""))</f>
        <v/>
      </c>
      <c r="F431" s="129"/>
      <c r="G431" s="129"/>
      <c r="H431" s="129"/>
      <c r="I431" s="129"/>
      <c r="J431" s="129"/>
      <c r="K431" s="129"/>
      <c r="L431" t="b">
        <f>IF(newbillingStationCustomerNumberOnly="",FALSE,shutoku165)</f>
        <v>0</v>
      </c>
    </row>
    <row r="432" spans="1:12">
      <c r="A432">
        <v>166</v>
      </c>
      <c r="B432" t="s">
        <v>69</v>
      </c>
      <c r="C432" t="str">
        <f>shubetsu166&amp;""</f>
        <v/>
      </c>
      <c r="D432" t="str">
        <f>(IF(追加番明[[#This Row],[請求種別]]="2",(LEFT(billid166,10)),billid166))&amp;""</f>
        <v/>
      </c>
      <c r="E432" t="str">
        <f>UPPER(SUBSTITUTE(追加番明[[#This Row],[ご請求番号]],"-",""))</f>
        <v/>
      </c>
      <c r="F432" s="129"/>
      <c r="G432" s="129"/>
      <c r="H432" s="129"/>
      <c r="I432" s="129"/>
      <c r="J432" s="129"/>
      <c r="K432" s="129"/>
      <c r="L432" t="b">
        <f>IF(newbillingStationCustomerNumberOnly="",FALSE,shutoku166)</f>
        <v>0</v>
      </c>
    </row>
    <row r="433" spans="1:12">
      <c r="A433">
        <v>167</v>
      </c>
      <c r="B433" t="s">
        <v>69</v>
      </c>
      <c r="C433" t="str">
        <f>shubetsu167&amp;""</f>
        <v/>
      </c>
      <c r="D433" t="str">
        <f>(IF(追加番明[[#This Row],[請求種別]]="2",(LEFT(billid167,10)),billid167))&amp;""</f>
        <v/>
      </c>
      <c r="E433" t="str">
        <f>UPPER(SUBSTITUTE(追加番明[[#This Row],[ご請求番号]],"-",""))</f>
        <v/>
      </c>
      <c r="F433" s="129"/>
      <c r="G433" s="129"/>
      <c r="H433" s="129"/>
      <c r="I433" s="129"/>
      <c r="J433" s="129"/>
      <c r="K433" s="129"/>
      <c r="L433" t="b">
        <f>IF(newbillingStationCustomerNumberOnly="",FALSE,shutoku167)</f>
        <v>0</v>
      </c>
    </row>
    <row r="434" spans="1:12">
      <c r="A434">
        <v>168</v>
      </c>
      <c r="B434" t="s">
        <v>69</v>
      </c>
      <c r="C434" t="str">
        <f>shubetsu168&amp;""</f>
        <v/>
      </c>
      <c r="D434" t="str">
        <f>(IF(追加番明[[#This Row],[請求種別]]="2",(LEFT(billid168,10)),billid168))&amp;""</f>
        <v/>
      </c>
      <c r="E434" t="str">
        <f>UPPER(SUBSTITUTE(追加番明[[#This Row],[ご請求番号]],"-",""))</f>
        <v/>
      </c>
      <c r="F434" s="129"/>
      <c r="G434" s="129"/>
      <c r="H434" s="129"/>
      <c r="I434" s="129"/>
      <c r="J434" s="129"/>
      <c r="K434" s="129"/>
      <c r="L434" t="b">
        <f>IF(newbillingStationCustomerNumberOnly="",FALSE,shutoku168)</f>
        <v>0</v>
      </c>
    </row>
    <row r="435" spans="1:12">
      <c r="A435">
        <v>169</v>
      </c>
      <c r="B435" t="s">
        <v>69</v>
      </c>
      <c r="C435" t="str">
        <f>shubetsu169&amp;""</f>
        <v/>
      </c>
      <c r="D435" t="str">
        <f>(IF(追加番明[[#This Row],[請求種別]]="2",(LEFT(billid169,10)),billid169))&amp;""</f>
        <v/>
      </c>
      <c r="E435" t="str">
        <f>UPPER(SUBSTITUTE(追加番明[[#This Row],[ご請求番号]],"-",""))</f>
        <v/>
      </c>
      <c r="F435" s="129"/>
      <c r="G435" s="129"/>
      <c r="H435" s="129"/>
      <c r="I435" s="129"/>
      <c r="J435" s="129"/>
      <c r="K435" s="129"/>
      <c r="L435" t="b">
        <f>IF(newbillingStationCustomerNumberOnly="",FALSE,shutoku169)</f>
        <v>0</v>
      </c>
    </row>
    <row r="436" spans="1:12">
      <c r="A436">
        <v>170</v>
      </c>
      <c r="B436" t="s">
        <v>69</v>
      </c>
      <c r="C436" t="str">
        <f>shubetsu170&amp;""</f>
        <v/>
      </c>
      <c r="D436" t="str">
        <f>(IF(追加番明[[#This Row],[請求種別]]="2",(LEFT(billid170,10)),billid170))&amp;""</f>
        <v/>
      </c>
      <c r="E436" t="str">
        <f>UPPER(SUBSTITUTE(追加番明[[#This Row],[ご請求番号]],"-",""))</f>
        <v/>
      </c>
      <c r="F436" s="129"/>
      <c r="G436" s="129"/>
      <c r="H436" s="129"/>
      <c r="I436" s="129"/>
      <c r="J436" s="129"/>
      <c r="K436" s="129"/>
      <c r="L436" t="b">
        <f>IF(newbillingStationCustomerNumberOnly="",FALSE,shutoku170)</f>
        <v>0</v>
      </c>
    </row>
    <row r="437" spans="1:12">
      <c r="A437">
        <v>171</v>
      </c>
      <c r="B437" t="s">
        <v>69</v>
      </c>
      <c r="C437" t="str">
        <f>shubetsu171&amp;""</f>
        <v/>
      </c>
      <c r="D437" t="str">
        <f>(IF(追加番明[[#This Row],[請求種別]]="2",(LEFT(billid171,10)),billid171))&amp;""</f>
        <v/>
      </c>
      <c r="E437" t="str">
        <f>UPPER(SUBSTITUTE(追加番明[[#This Row],[ご請求番号]],"-",""))</f>
        <v/>
      </c>
      <c r="F437" s="129"/>
      <c r="G437" s="129"/>
      <c r="H437" s="129"/>
      <c r="I437" s="129"/>
      <c r="J437" s="129"/>
      <c r="K437" s="129"/>
      <c r="L437" t="b">
        <f>IF(newbillingStationCustomerNumberOnly="",FALSE,shutoku171)</f>
        <v>0</v>
      </c>
    </row>
    <row r="438" spans="1:12">
      <c r="A438">
        <v>172</v>
      </c>
      <c r="B438" t="s">
        <v>69</v>
      </c>
      <c r="C438" t="str">
        <f>shubetsu172&amp;""</f>
        <v/>
      </c>
      <c r="D438" t="str">
        <f>(IF(追加番明[[#This Row],[請求種別]]="2",(LEFT(billid172,10)),billid172))&amp;""</f>
        <v/>
      </c>
      <c r="E438" t="str">
        <f>UPPER(SUBSTITUTE(追加番明[[#This Row],[ご請求番号]],"-",""))</f>
        <v/>
      </c>
      <c r="F438" s="129"/>
      <c r="G438" s="129"/>
      <c r="H438" s="129"/>
      <c r="I438" s="129"/>
      <c r="J438" s="129"/>
      <c r="K438" s="129"/>
      <c r="L438" t="b">
        <f>IF(newbillingStationCustomerNumberOnly="",FALSE,shutoku172)</f>
        <v>0</v>
      </c>
    </row>
    <row r="439" spans="1:12">
      <c r="A439">
        <v>173</v>
      </c>
      <c r="B439" t="s">
        <v>69</v>
      </c>
      <c r="C439" t="str">
        <f>shubetsu173&amp;""</f>
        <v/>
      </c>
      <c r="D439" t="str">
        <f>(IF(追加番明[[#This Row],[請求種別]]="2",(LEFT(billid173,10)),billid173))&amp;""</f>
        <v/>
      </c>
      <c r="E439" t="str">
        <f>UPPER(SUBSTITUTE(追加番明[[#This Row],[ご請求番号]],"-",""))</f>
        <v/>
      </c>
      <c r="F439" s="129"/>
      <c r="G439" s="129"/>
      <c r="H439" s="129"/>
      <c r="I439" s="129"/>
      <c r="J439" s="129"/>
      <c r="K439" s="129"/>
      <c r="L439" t="b">
        <f>IF(newbillingStationCustomerNumberOnly="",FALSE,shutoku173)</f>
        <v>0</v>
      </c>
    </row>
    <row r="440" spans="1:12">
      <c r="A440">
        <v>174</v>
      </c>
      <c r="B440" t="s">
        <v>69</v>
      </c>
      <c r="C440" t="str">
        <f>shubetsu174&amp;""</f>
        <v/>
      </c>
      <c r="D440" t="str">
        <f>(IF(追加番明[[#This Row],[請求種別]]="2",(LEFT(billid174,10)),billid174))&amp;""</f>
        <v/>
      </c>
      <c r="E440" t="str">
        <f>UPPER(SUBSTITUTE(追加番明[[#This Row],[ご請求番号]],"-",""))</f>
        <v/>
      </c>
      <c r="F440" s="129"/>
      <c r="G440" s="129"/>
      <c r="H440" s="129"/>
      <c r="I440" s="129"/>
      <c r="J440" s="129"/>
      <c r="K440" s="129"/>
      <c r="L440" t="b">
        <f>IF(newbillingStationCustomerNumberOnly="",FALSE,shutoku174)</f>
        <v>0</v>
      </c>
    </row>
    <row r="441" spans="1:12">
      <c r="A441">
        <v>175</v>
      </c>
      <c r="B441" t="s">
        <v>69</v>
      </c>
      <c r="C441" t="str">
        <f>shubetsu175&amp;""</f>
        <v/>
      </c>
      <c r="D441" t="str">
        <f>(IF(追加番明[[#This Row],[請求種別]]="2",(LEFT(billid175,10)),billid175))&amp;""</f>
        <v/>
      </c>
      <c r="E441" t="str">
        <f>UPPER(SUBSTITUTE(追加番明[[#This Row],[ご請求番号]],"-",""))</f>
        <v/>
      </c>
      <c r="F441" s="129"/>
      <c r="G441" s="129"/>
      <c r="H441" s="129"/>
      <c r="I441" s="129"/>
      <c r="J441" s="129"/>
      <c r="K441" s="129"/>
      <c r="L441" t="b">
        <f>IF(newbillingStationCustomerNumberOnly="",FALSE,shutoku175)</f>
        <v>0</v>
      </c>
    </row>
    <row r="442" spans="1:12">
      <c r="A442">
        <v>176</v>
      </c>
      <c r="B442" t="s">
        <v>69</v>
      </c>
      <c r="C442" t="str">
        <f>shubetsu176&amp;""</f>
        <v/>
      </c>
      <c r="D442" t="str">
        <f>(IF(追加番明[[#This Row],[請求種別]]="2",(LEFT(billid176,10)),billid176))&amp;""</f>
        <v/>
      </c>
      <c r="E442" t="str">
        <f>UPPER(SUBSTITUTE(追加番明[[#This Row],[ご請求番号]],"-",""))</f>
        <v/>
      </c>
      <c r="F442" s="129"/>
      <c r="G442" s="129"/>
      <c r="H442" s="129"/>
      <c r="I442" s="129"/>
      <c r="J442" s="129"/>
      <c r="K442" s="129"/>
      <c r="L442" t="b">
        <f>IF(newbillingStationCustomerNumberOnly="",FALSE,shutoku176)</f>
        <v>0</v>
      </c>
    </row>
    <row r="443" spans="1:12">
      <c r="A443">
        <v>177</v>
      </c>
      <c r="B443" t="s">
        <v>69</v>
      </c>
      <c r="C443" t="str">
        <f>shubetsu177&amp;""</f>
        <v/>
      </c>
      <c r="D443" t="str">
        <f>(IF(追加番明[[#This Row],[請求種別]]="2",(LEFT(billid177,10)),billid177))&amp;""</f>
        <v/>
      </c>
      <c r="E443" t="str">
        <f>UPPER(SUBSTITUTE(追加番明[[#This Row],[ご請求番号]],"-",""))</f>
        <v/>
      </c>
      <c r="F443" s="129"/>
      <c r="G443" s="129"/>
      <c r="H443" s="129"/>
      <c r="I443" s="129"/>
      <c r="J443" s="129"/>
      <c r="K443" s="129"/>
      <c r="L443" t="b">
        <f>IF(newbillingStationCustomerNumberOnly="",FALSE,shutoku177)</f>
        <v>0</v>
      </c>
    </row>
    <row r="444" spans="1:12">
      <c r="A444">
        <v>178</v>
      </c>
      <c r="B444" t="s">
        <v>69</v>
      </c>
      <c r="C444" t="str">
        <f>shubetsu178&amp;""</f>
        <v/>
      </c>
      <c r="D444" t="str">
        <f>(IF(追加番明[[#This Row],[請求種別]]="2",(LEFT(billid178,10)),billid178))&amp;""</f>
        <v/>
      </c>
      <c r="E444" t="str">
        <f>UPPER(SUBSTITUTE(追加番明[[#This Row],[ご請求番号]],"-",""))</f>
        <v/>
      </c>
      <c r="F444" s="129"/>
      <c r="G444" s="129"/>
      <c r="H444" s="129"/>
      <c r="I444" s="129"/>
      <c r="J444" s="129"/>
      <c r="K444" s="129"/>
      <c r="L444" t="b">
        <f>IF(newbillingStationCustomerNumberOnly="",FALSE,shutoku178)</f>
        <v>0</v>
      </c>
    </row>
    <row r="445" spans="1:12">
      <c r="A445">
        <v>179</v>
      </c>
      <c r="B445" t="s">
        <v>69</v>
      </c>
      <c r="C445" t="str">
        <f>shubetsu179&amp;""</f>
        <v/>
      </c>
      <c r="D445" t="str">
        <f>(IF(追加番明[[#This Row],[請求種別]]="2",(LEFT(billid179,10)),billid179))&amp;""</f>
        <v/>
      </c>
      <c r="E445" t="str">
        <f>UPPER(SUBSTITUTE(追加番明[[#This Row],[ご請求番号]],"-",""))</f>
        <v/>
      </c>
      <c r="F445" s="129"/>
      <c r="G445" s="129"/>
      <c r="H445" s="129"/>
      <c r="I445" s="129"/>
      <c r="J445" s="129"/>
      <c r="K445" s="129"/>
      <c r="L445" t="b">
        <f>IF(newbillingStationCustomerNumberOnly="",FALSE,shutoku179)</f>
        <v>0</v>
      </c>
    </row>
    <row r="446" spans="1:12">
      <c r="A446">
        <v>180</v>
      </c>
      <c r="B446" t="s">
        <v>69</v>
      </c>
      <c r="C446" t="str">
        <f>shubetsu180&amp;""</f>
        <v/>
      </c>
      <c r="D446" t="str">
        <f>(IF(追加番明[[#This Row],[請求種別]]="2",(LEFT(billid180,10)),billid180))&amp;""</f>
        <v/>
      </c>
      <c r="E446" t="str">
        <f>UPPER(SUBSTITUTE(追加番明[[#This Row],[ご請求番号]],"-",""))</f>
        <v/>
      </c>
      <c r="F446" s="129"/>
      <c r="G446" s="129"/>
      <c r="H446" s="129"/>
      <c r="I446" s="129"/>
      <c r="J446" s="129"/>
      <c r="K446" s="129"/>
      <c r="L446" t="b">
        <f>IF(newbillingStationCustomerNumberOnly="",FALSE,shutoku180)</f>
        <v>0</v>
      </c>
    </row>
    <row r="447" spans="1:12">
      <c r="A447">
        <v>181</v>
      </c>
      <c r="B447" t="s">
        <v>69</v>
      </c>
      <c r="C447" t="str">
        <f>shubetsu181&amp;""</f>
        <v/>
      </c>
      <c r="D447" t="str">
        <f>(IF(追加番明[[#This Row],[請求種別]]="2",(LEFT(billid181,10)),billid181))&amp;""</f>
        <v/>
      </c>
      <c r="E447" t="str">
        <f>UPPER(SUBSTITUTE(追加番明[[#This Row],[ご請求番号]],"-",""))</f>
        <v/>
      </c>
      <c r="F447" s="129"/>
      <c r="G447" s="129"/>
      <c r="H447" s="129"/>
      <c r="I447" s="129"/>
      <c r="J447" s="129"/>
      <c r="K447" s="129"/>
      <c r="L447" t="b">
        <f>IF(newbillingStationCustomerNumberOnly="",FALSE,shutoku181)</f>
        <v>0</v>
      </c>
    </row>
    <row r="448" spans="1:12">
      <c r="A448">
        <v>182</v>
      </c>
      <c r="B448" t="s">
        <v>69</v>
      </c>
      <c r="C448" t="str">
        <f>shubetsu182&amp;""</f>
        <v/>
      </c>
      <c r="D448" t="str">
        <f>(IF(追加番明[[#This Row],[請求種別]]="2",(LEFT(billid182,10)),billid182))&amp;""</f>
        <v/>
      </c>
      <c r="E448" t="str">
        <f>UPPER(SUBSTITUTE(追加番明[[#This Row],[ご請求番号]],"-",""))</f>
        <v/>
      </c>
      <c r="F448" s="129"/>
      <c r="G448" s="129"/>
      <c r="H448" s="129"/>
      <c r="I448" s="129"/>
      <c r="J448" s="129"/>
      <c r="K448" s="129"/>
      <c r="L448" t="b">
        <f>IF(newbillingStationCustomerNumberOnly="",FALSE,shutoku182)</f>
        <v>0</v>
      </c>
    </row>
    <row r="449" spans="1:12">
      <c r="A449">
        <v>183</v>
      </c>
      <c r="B449" t="s">
        <v>69</v>
      </c>
      <c r="C449" t="str">
        <f>shubetsu183&amp;""</f>
        <v/>
      </c>
      <c r="D449" t="str">
        <f>(IF(追加番明[[#This Row],[請求種別]]="2",(LEFT(billid183,10)),billid183))&amp;""</f>
        <v/>
      </c>
      <c r="E449" t="str">
        <f>UPPER(SUBSTITUTE(追加番明[[#This Row],[ご請求番号]],"-",""))</f>
        <v/>
      </c>
      <c r="F449" s="129"/>
      <c r="G449" s="129"/>
      <c r="H449" s="129"/>
      <c r="I449" s="129"/>
      <c r="J449" s="129"/>
      <c r="K449" s="129"/>
      <c r="L449" t="b">
        <f>IF(newbillingStationCustomerNumberOnly="",FALSE,shutoku183)</f>
        <v>0</v>
      </c>
    </row>
    <row r="450" spans="1:12">
      <c r="A450">
        <v>184</v>
      </c>
      <c r="B450" t="s">
        <v>69</v>
      </c>
      <c r="C450" t="str">
        <f>shubetsu184&amp;""</f>
        <v/>
      </c>
      <c r="D450" t="str">
        <f>(IF(追加番明[[#This Row],[請求種別]]="2",(LEFT(billid184,10)),billid184))&amp;""</f>
        <v/>
      </c>
      <c r="E450" t="str">
        <f>UPPER(SUBSTITUTE(追加番明[[#This Row],[ご請求番号]],"-",""))</f>
        <v/>
      </c>
      <c r="F450" s="129"/>
      <c r="G450" s="129"/>
      <c r="H450" s="129"/>
      <c r="I450" s="129"/>
      <c r="J450" s="129"/>
      <c r="K450" s="129"/>
      <c r="L450" t="b">
        <f>IF(newbillingStationCustomerNumberOnly="",FALSE,shutoku184)</f>
        <v>0</v>
      </c>
    </row>
    <row r="451" spans="1:12">
      <c r="A451">
        <v>185</v>
      </c>
      <c r="B451" t="s">
        <v>69</v>
      </c>
      <c r="C451" t="str">
        <f>shubetsu185&amp;""</f>
        <v/>
      </c>
      <c r="D451" t="str">
        <f>(IF(追加番明[[#This Row],[請求種別]]="2",(LEFT(billid185,10)),billid185))&amp;""</f>
        <v/>
      </c>
      <c r="E451" t="str">
        <f>UPPER(SUBSTITUTE(追加番明[[#This Row],[ご請求番号]],"-",""))</f>
        <v/>
      </c>
      <c r="F451" s="129"/>
      <c r="G451" s="129"/>
      <c r="H451" s="129"/>
      <c r="I451" s="129"/>
      <c r="J451" s="129"/>
      <c r="K451" s="129"/>
      <c r="L451" t="b">
        <f>IF(newbillingStationCustomerNumberOnly="",FALSE,shutoku185)</f>
        <v>0</v>
      </c>
    </row>
    <row r="452" spans="1:12">
      <c r="A452">
        <v>186</v>
      </c>
      <c r="B452" t="s">
        <v>69</v>
      </c>
      <c r="C452" t="str">
        <f>shubetsu186&amp;""</f>
        <v/>
      </c>
      <c r="D452" t="str">
        <f>(IF(追加番明[[#This Row],[請求種別]]="2",(LEFT(billid186,10)),billid186))&amp;""</f>
        <v/>
      </c>
      <c r="E452" t="str">
        <f>UPPER(SUBSTITUTE(追加番明[[#This Row],[ご請求番号]],"-",""))</f>
        <v/>
      </c>
      <c r="F452" s="129"/>
      <c r="G452" s="129"/>
      <c r="H452" s="129"/>
      <c r="I452" s="129"/>
      <c r="J452" s="129"/>
      <c r="K452" s="129"/>
      <c r="L452" t="b">
        <f>IF(newbillingStationCustomerNumberOnly="",FALSE,shutoku186)</f>
        <v>0</v>
      </c>
    </row>
    <row r="453" spans="1:12">
      <c r="A453">
        <v>187</v>
      </c>
      <c r="B453" t="s">
        <v>69</v>
      </c>
      <c r="C453" t="str">
        <f>shubetsu187&amp;""</f>
        <v/>
      </c>
      <c r="D453" t="str">
        <f>(IF(追加番明[[#This Row],[請求種別]]="2",(LEFT(billid187,10)),billid187))&amp;""</f>
        <v/>
      </c>
      <c r="E453" t="str">
        <f>UPPER(SUBSTITUTE(追加番明[[#This Row],[ご請求番号]],"-",""))</f>
        <v/>
      </c>
      <c r="F453" s="129"/>
      <c r="G453" s="129"/>
      <c r="H453" s="129"/>
      <c r="I453" s="129"/>
      <c r="J453" s="129"/>
      <c r="K453" s="129"/>
      <c r="L453" t="b">
        <f>IF(newbillingStationCustomerNumberOnly="",FALSE,shutoku187)</f>
        <v>0</v>
      </c>
    </row>
    <row r="454" spans="1:12">
      <c r="A454">
        <v>188</v>
      </c>
      <c r="B454" t="s">
        <v>69</v>
      </c>
      <c r="C454" t="str">
        <f>shubetsu188&amp;""</f>
        <v/>
      </c>
      <c r="D454" t="str">
        <f>(IF(追加番明[[#This Row],[請求種別]]="2",(LEFT(billid188,10)),billid188))&amp;""</f>
        <v/>
      </c>
      <c r="E454" t="str">
        <f>UPPER(SUBSTITUTE(追加番明[[#This Row],[ご請求番号]],"-",""))</f>
        <v/>
      </c>
      <c r="F454" s="129"/>
      <c r="G454" s="129"/>
      <c r="H454" s="129"/>
      <c r="I454" s="129"/>
      <c r="J454" s="129"/>
      <c r="K454" s="129"/>
      <c r="L454" t="b">
        <f>IF(newbillingStationCustomerNumberOnly="",FALSE,shutoku188)</f>
        <v>0</v>
      </c>
    </row>
    <row r="455" spans="1:12">
      <c r="A455">
        <v>189</v>
      </c>
      <c r="B455" t="s">
        <v>69</v>
      </c>
      <c r="C455" t="str">
        <f>shubetsu189&amp;""</f>
        <v/>
      </c>
      <c r="D455" t="str">
        <f>(IF(追加番明[[#This Row],[請求種別]]="2",(LEFT(billid189,10)),billid189))&amp;""</f>
        <v/>
      </c>
      <c r="E455" t="str">
        <f>UPPER(SUBSTITUTE(追加番明[[#This Row],[ご請求番号]],"-",""))</f>
        <v/>
      </c>
      <c r="F455" s="129"/>
      <c r="G455" s="129"/>
      <c r="H455" s="129"/>
      <c r="I455" s="129"/>
      <c r="J455" s="129"/>
      <c r="K455" s="129"/>
      <c r="L455" t="b">
        <f>IF(newbillingStationCustomerNumberOnly="",FALSE,shutoku189)</f>
        <v>0</v>
      </c>
    </row>
    <row r="456" spans="1:12">
      <c r="A456">
        <v>190</v>
      </c>
      <c r="B456" t="s">
        <v>69</v>
      </c>
      <c r="C456" t="str">
        <f>shubetsu190&amp;""</f>
        <v/>
      </c>
      <c r="D456" t="str">
        <f>(IF(追加番明[[#This Row],[請求種別]]="2",(LEFT(billid190,10)),billid190))&amp;""</f>
        <v/>
      </c>
      <c r="E456" t="str">
        <f>UPPER(SUBSTITUTE(追加番明[[#This Row],[ご請求番号]],"-",""))</f>
        <v/>
      </c>
      <c r="F456" s="129"/>
      <c r="G456" s="129"/>
      <c r="H456" s="129"/>
      <c r="I456" s="129"/>
      <c r="J456" s="129"/>
      <c r="K456" s="129"/>
      <c r="L456" t="b">
        <f>IF(newbillingStationCustomerNumberOnly="",FALSE,shutoku190)</f>
        <v>0</v>
      </c>
    </row>
    <row r="457" spans="1:12">
      <c r="A457">
        <v>191</v>
      </c>
      <c r="B457" t="s">
        <v>69</v>
      </c>
      <c r="C457" t="str">
        <f>shubetsu191&amp;""</f>
        <v/>
      </c>
      <c r="D457" t="str">
        <f>(IF(追加番明[[#This Row],[請求種別]]="2",(LEFT(billid191,10)),billid191))&amp;""</f>
        <v/>
      </c>
      <c r="E457" t="str">
        <f>UPPER(SUBSTITUTE(追加番明[[#This Row],[ご請求番号]],"-",""))</f>
        <v/>
      </c>
      <c r="F457" s="129"/>
      <c r="G457" s="129"/>
      <c r="H457" s="129"/>
      <c r="I457" s="129"/>
      <c r="J457" s="129"/>
      <c r="K457" s="129"/>
      <c r="L457" t="b">
        <f>IF(newbillingStationCustomerNumberOnly="",FALSE,shutoku191)</f>
        <v>0</v>
      </c>
    </row>
    <row r="458" spans="1:12">
      <c r="A458">
        <v>192</v>
      </c>
      <c r="B458" t="s">
        <v>69</v>
      </c>
      <c r="C458" t="str">
        <f>shubetsu192&amp;""</f>
        <v/>
      </c>
      <c r="D458" t="str">
        <f>(IF(追加番明[[#This Row],[請求種別]]="2",(LEFT(billid192,10)),billid192))&amp;""</f>
        <v/>
      </c>
      <c r="E458" t="str">
        <f>UPPER(SUBSTITUTE(追加番明[[#This Row],[ご請求番号]],"-",""))</f>
        <v/>
      </c>
      <c r="F458" s="129"/>
      <c r="G458" s="129"/>
      <c r="H458" s="129"/>
      <c r="I458" s="129"/>
      <c r="J458" s="129"/>
      <c r="K458" s="129"/>
      <c r="L458" t="b">
        <f>IF(newbillingStationCustomerNumberOnly="",FALSE,shutoku192)</f>
        <v>0</v>
      </c>
    </row>
    <row r="459" spans="1:12">
      <c r="A459">
        <v>193</v>
      </c>
      <c r="B459" t="s">
        <v>69</v>
      </c>
      <c r="C459" t="str">
        <f>shubetsu193&amp;""</f>
        <v/>
      </c>
      <c r="D459" t="str">
        <f>(IF(追加番明[[#This Row],[請求種別]]="2",(LEFT(billid193,10)),billid193))&amp;""</f>
        <v/>
      </c>
      <c r="E459" t="str">
        <f>UPPER(SUBSTITUTE(追加番明[[#This Row],[ご請求番号]],"-",""))</f>
        <v/>
      </c>
      <c r="F459" s="129"/>
      <c r="G459" s="129"/>
      <c r="H459" s="129"/>
      <c r="I459" s="129"/>
      <c r="J459" s="129"/>
      <c r="K459" s="129"/>
      <c r="L459" t="b">
        <f>IF(newbillingStationCustomerNumberOnly="",FALSE,shutoku193)</f>
        <v>0</v>
      </c>
    </row>
    <row r="460" spans="1:12">
      <c r="A460">
        <v>194</v>
      </c>
      <c r="B460" t="s">
        <v>69</v>
      </c>
      <c r="C460" t="str">
        <f>shubetsu194&amp;""</f>
        <v/>
      </c>
      <c r="D460" t="str">
        <f>(IF(追加番明[[#This Row],[請求種別]]="2",(LEFT(billid194,10)),billid194))&amp;""</f>
        <v/>
      </c>
      <c r="E460" t="str">
        <f>UPPER(SUBSTITUTE(追加番明[[#This Row],[ご請求番号]],"-",""))</f>
        <v/>
      </c>
      <c r="F460" s="129"/>
      <c r="G460" s="129"/>
      <c r="H460" s="129"/>
      <c r="I460" s="129"/>
      <c r="J460" s="129"/>
      <c r="K460" s="129"/>
      <c r="L460" t="b">
        <f>IF(newbillingStationCustomerNumberOnly="",FALSE,shutoku194)</f>
        <v>0</v>
      </c>
    </row>
    <row r="461" spans="1:12">
      <c r="A461">
        <v>195</v>
      </c>
      <c r="B461" t="s">
        <v>69</v>
      </c>
      <c r="C461" t="str">
        <f>shubetsu195&amp;""</f>
        <v/>
      </c>
      <c r="D461" t="str">
        <f>(IF(追加番明[[#This Row],[請求種別]]="2",(LEFT(billid195,10)),billid195))&amp;""</f>
        <v/>
      </c>
      <c r="E461" t="str">
        <f>UPPER(SUBSTITUTE(追加番明[[#This Row],[ご請求番号]],"-",""))</f>
        <v/>
      </c>
      <c r="F461" s="129"/>
      <c r="G461" s="129"/>
      <c r="H461" s="129"/>
      <c r="I461" s="129"/>
      <c r="J461" s="129"/>
      <c r="K461" s="129"/>
      <c r="L461" t="b">
        <f>IF(newbillingStationCustomerNumberOnly="",FALSE,shutoku195)</f>
        <v>0</v>
      </c>
    </row>
    <row r="462" spans="1:12">
      <c r="A462">
        <v>196</v>
      </c>
      <c r="B462" t="s">
        <v>69</v>
      </c>
      <c r="C462" t="str">
        <f>shubetsu196&amp;""</f>
        <v/>
      </c>
      <c r="D462" t="str">
        <f>(IF(追加番明[[#This Row],[請求種別]]="2",(LEFT(billid196,10)),billid196))&amp;""</f>
        <v/>
      </c>
      <c r="E462" t="str">
        <f>UPPER(SUBSTITUTE(追加番明[[#This Row],[ご請求番号]],"-",""))</f>
        <v/>
      </c>
      <c r="F462" s="129"/>
      <c r="G462" s="129"/>
      <c r="H462" s="129"/>
      <c r="I462" s="129"/>
      <c r="J462" s="129"/>
      <c r="K462" s="129"/>
      <c r="L462" t="b">
        <f>IF(newbillingStationCustomerNumberOnly="",FALSE,shutoku196)</f>
        <v>0</v>
      </c>
    </row>
    <row r="463" spans="1:12">
      <c r="A463">
        <v>197</v>
      </c>
      <c r="B463" t="s">
        <v>69</v>
      </c>
      <c r="C463" t="str">
        <f>shubetsu197&amp;""</f>
        <v/>
      </c>
      <c r="D463" t="str">
        <f>(IF(追加番明[[#This Row],[請求種別]]="2",(LEFT(billid197,10)),billid197))&amp;""</f>
        <v/>
      </c>
      <c r="E463" t="str">
        <f>UPPER(SUBSTITUTE(追加番明[[#This Row],[ご請求番号]],"-",""))</f>
        <v/>
      </c>
      <c r="F463" s="129"/>
      <c r="G463" s="129"/>
      <c r="H463" s="129"/>
      <c r="I463" s="129"/>
      <c r="J463" s="129"/>
      <c r="K463" s="129"/>
      <c r="L463" t="b">
        <f>IF(newbillingStationCustomerNumberOnly="",FALSE,shutoku197)</f>
        <v>0</v>
      </c>
    </row>
    <row r="464" spans="1:12">
      <c r="A464">
        <v>198</v>
      </c>
      <c r="B464" t="s">
        <v>69</v>
      </c>
      <c r="C464" t="str">
        <f>shubetsu198&amp;""</f>
        <v/>
      </c>
      <c r="D464" t="str">
        <f>(IF(追加番明[[#This Row],[請求種別]]="2",(LEFT(billid198,10)),billid198))&amp;""</f>
        <v/>
      </c>
      <c r="E464" t="str">
        <f>UPPER(SUBSTITUTE(追加番明[[#This Row],[ご請求番号]],"-",""))</f>
        <v/>
      </c>
      <c r="F464" s="129"/>
      <c r="G464" s="129"/>
      <c r="H464" s="129"/>
      <c r="I464" s="129"/>
      <c r="J464" s="129"/>
      <c r="K464" s="129"/>
      <c r="L464" t="b">
        <f>IF(newbillingStationCustomerNumberOnly="",FALSE,shutoku198)</f>
        <v>0</v>
      </c>
    </row>
    <row r="465" spans="1:12">
      <c r="A465">
        <v>199</v>
      </c>
      <c r="B465" t="s">
        <v>69</v>
      </c>
      <c r="C465" t="str">
        <f>shubetsu199&amp;""</f>
        <v/>
      </c>
      <c r="D465" t="str">
        <f>(IF(追加番明[[#This Row],[請求種別]]="2",(LEFT(billid199,10)),billid199))&amp;""</f>
        <v/>
      </c>
      <c r="E465" t="str">
        <f>UPPER(SUBSTITUTE(追加番明[[#This Row],[ご請求番号]],"-",""))</f>
        <v/>
      </c>
      <c r="F465" s="129"/>
      <c r="G465" s="129"/>
      <c r="H465" s="129"/>
      <c r="I465" s="129"/>
      <c r="J465" s="129"/>
      <c r="K465" s="129"/>
      <c r="L465" t="b">
        <f>IF(newbillingStationCustomerNumberOnly="",FALSE,shutoku199)</f>
        <v>0</v>
      </c>
    </row>
    <row r="466" spans="1:12">
      <c r="A466">
        <v>200</v>
      </c>
      <c r="B466" t="s">
        <v>69</v>
      </c>
      <c r="C466" t="str">
        <f>shubetsu200&amp;""</f>
        <v/>
      </c>
      <c r="D466" t="str">
        <f>(IF(追加番明[[#This Row],[請求種別]]="2",(LEFT(billid200,10)),billid200))&amp;""</f>
        <v/>
      </c>
      <c r="E466" t="str">
        <f>UPPER(SUBSTITUTE(追加番明[[#This Row],[ご請求番号]],"-",""))</f>
        <v/>
      </c>
      <c r="F466" s="129"/>
      <c r="G466" s="129"/>
      <c r="H466" s="129"/>
      <c r="I466" s="129"/>
      <c r="J466" s="129"/>
      <c r="K466" s="129"/>
      <c r="L466" t="b">
        <f>IF(newbillingStationCustomerNumberOnly="",FALSE,shutoku200)</f>
        <v>0</v>
      </c>
    </row>
    <row r="467" spans="1:12">
      <c r="A467">
        <v>201</v>
      </c>
      <c r="B467" t="s">
        <v>69</v>
      </c>
      <c r="C467" t="str">
        <f>shubetsu201&amp;""</f>
        <v/>
      </c>
      <c r="D467" t="str">
        <f>(IF(追加番明[[#This Row],[請求種別]]="2",(LEFT(billid201,10)),billid201))&amp;""</f>
        <v/>
      </c>
      <c r="E467" t="str">
        <f>UPPER(SUBSTITUTE(追加番明[[#This Row],[ご請求番号]],"-",""))</f>
        <v/>
      </c>
      <c r="F467" s="129"/>
      <c r="G467" s="129"/>
      <c r="H467" s="129"/>
      <c r="I467" s="129"/>
      <c r="J467" s="129"/>
      <c r="K467" s="129"/>
      <c r="L467" t="b">
        <f>IF(newbillingStationCustomerNumberOnly="",FALSE,shutoku201)</f>
        <v>0</v>
      </c>
    </row>
    <row r="468" spans="1:12">
      <c r="A468">
        <v>202</v>
      </c>
      <c r="B468" t="s">
        <v>69</v>
      </c>
      <c r="C468" t="str">
        <f>shubetsu202&amp;""</f>
        <v/>
      </c>
      <c r="D468" t="str">
        <f>(IF(追加番明[[#This Row],[請求種別]]="2",(LEFT(billid202,10)),billid202))&amp;""</f>
        <v/>
      </c>
      <c r="E468" t="str">
        <f>UPPER(SUBSTITUTE(追加番明[[#This Row],[ご請求番号]],"-",""))</f>
        <v/>
      </c>
      <c r="F468" s="129"/>
      <c r="G468" s="129"/>
      <c r="H468" s="129"/>
      <c r="I468" s="129"/>
      <c r="J468" s="129"/>
      <c r="K468" s="129"/>
      <c r="L468" t="b">
        <f>IF(newbillingStationCustomerNumberOnly="",FALSE,shutoku202)</f>
        <v>0</v>
      </c>
    </row>
    <row r="469" spans="1:12">
      <c r="A469">
        <v>203</v>
      </c>
      <c r="B469" t="s">
        <v>69</v>
      </c>
      <c r="C469" t="str">
        <f>shubetsu203&amp;""</f>
        <v/>
      </c>
      <c r="D469" t="str">
        <f>(IF(追加番明[[#This Row],[請求種別]]="2",(LEFT(billid203,10)),billid203))&amp;""</f>
        <v/>
      </c>
      <c r="E469" t="str">
        <f>UPPER(SUBSTITUTE(追加番明[[#This Row],[ご請求番号]],"-",""))</f>
        <v/>
      </c>
      <c r="F469" s="129"/>
      <c r="G469" s="129"/>
      <c r="H469" s="129"/>
      <c r="I469" s="129"/>
      <c r="J469" s="129"/>
      <c r="K469" s="129"/>
      <c r="L469" t="b">
        <f>IF(newbillingStationCustomerNumberOnly="",FALSE,shutoku203)</f>
        <v>0</v>
      </c>
    </row>
    <row r="470" spans="1:12">
      <c r="A470">
        <v>204</v>
      </c>
      <c r="B470" t="s">
        <v>69</v>
      </c>
      <c r="C470" t="str">
        <f>shubetsu204&amp;""</f>
        <v/>
      </c>
      <c r="D470" t="str">
        <f>(IF(追加番明[[#This Row],[請求種別]]="2",(LEFT(billid204,10)),billid204))&amp;""</f>
        <v/>
      </c>
      <c r="E470" t="str">
        <f>UPPER(SUBSTITUTE(追加番明[[#This Row],[ご請求番号]],"-",""))</f>
        <v/>
      </c>
      <c r="F470" s="129"/>
      <c r="G470" s="129"/>
      <c r="H470" s="129"/>
      <c r="I470" s="129"/>
      <c r="J470" s="129"/>
      <c r="K470" s="129"/>
      <c r="L470" t="b">
        <f>IF(newbillingStationCustomerNumberOnly="",FALSE,shutoku204)</f>
        <v>0</v>
      </c>
    </row>
    <row r="471" spans="1:12">
      <c r="A471">
        <v>205</v>
      </c>
      <c r="B471" t="s">
        <v>69</v>
      </c>
      <c r="C471" t="str">
        <f>shubetsu205&amp;""</f>
        <v/>
      </c>
      <c r="D471" t="str">
        <f>(IF(追加番明[[#This Row],[請求種別]]="2",(LEFT(billid205,10)),billid205))&amp;""</f>
        <v/>
      </c>
      <c r="E471" t="str">
        <f>UPPER(SUBSTITUTE(追加番明[[#This Row],[ご請求番号]],"-",""))</f>
        <v/>
      </c>
      <c r="F471" s="129"/>
      <c r="G471" s="129"/>
      <c r="H471" s="129"/>
      <c r="I471" s="129"/>
      <c r="J471" s="129"/>
      <c r="K471" s="129"/>
      <c r="L471" t="b">
        <f>IF(newbillingStationCustomerNumberOnly="",FALSE,shutoku205)</f>
        <v>0</v>
      </c>
    </row>
    <row r="472" spans="1:12">
      <c r="A472">
        <v>206</v>
      </c>
      <c r="B472" t="s">
        <v>69</v>
      </c>
      <c r="C472" t="str">
        <f>shubetsu206&amp;""</f>
        <v/>
      </c>
      <c r="D472" t="str">
        <f>(IF(追加番明[[#This Row],[請求種別]]="2",(LEFT(billid206,10)),billid206))&amp;""</f>
        <v/>
      </c>
      <c r="E472" t="str">
        <f>UPPER(SUBSTITUTE(追加番明[[#This Row],[ご請求番号]],"-",""))</f>
        <v/>
      </c>
      <c r="F472" s="129"/>
      <c r="G472" s="129"/>
      <c r="H472" s="129"/>
      <c r="I472" s="129"/>
      <c r="J472" s="129"/>
      <c r="K472" s="129"/>
      <c r="L472" t="b">
        <f>IF(newbillingStationCustomerNumberOnly="",FALSE,shutoku206)</f>
        <v>0</v>
      </c>
    </row>
    <row r="473" spans="1:12">
      <c r="A473">
        <v>207</v>
      </c>
      <c r="B473" t="s">
        <v>69</v>
      </c>
      <c r="C473" t="str">
        <f>shubetsu207&amp;""</f>
        <v/>
      </c>
      <c r="D473" t="str">
        <f>(IF(追加番明[[#This Row],[請求種別]]="2",(LEFT(billid207,10)),billid207))&amp;""</f>
        <v/>
      </c>
      <c r="E473" t="str">
        <f>UPPER(SUBSTITUTE(追加番明[[#This Row],[ご請求番号]],"-",""))</f>
        <v/>
      </c>
      <c r="F473" s="129"/>
      <c r="G473" s="129"/>
      <c r="H473" s="129"/>
      <c r="I473" s="129"/>
      <c r="J473" s="129"/>
      <c r="K473" s="129"/>
      <c r="L473" t="b">
        <f>IF(newbillingStationCustomerNumberOnly="",FALSE,shutoku207)</f>
        <v>0</v>
      </c>
    </row>
    <row r="474" spans="1:12">
      <c r="A474">
        <v>208</v>
      </c>
      <c r="B474" t="s">
        <v>69</v>
      </c>
      <c r="C474" t="str">
        <f>shubetsu208&amp;""</f>
        <v/>
      </c>
      <c r="D474" t="str">
        <f>(IF(追加番明[[#This Row],[請求種別]]="2",(LEFT(billid208,10)),billid208))&amp;""</f>
        <v/>
      </c>
      <c r="E474" t="str">
        <f>UPPER(SUBSTITUTE(追加番明[[#This Row],[ご請求番号]],"-",""))</f>
        <v/>
      </c>
      <c r="F474" s="129"/>
      <c r="G474" s="129"/>
      <c r="H474" s="129"/>
      <c r="I474" s="129"/>
      <c r="J474" s="129"/>
      <c r="K474" s="129"/>
      <c r="L474" t="b">
        <f>IF(newbillingStationCustomerNumberOnly="",FALSE,shutoku208)</f>
        <v>0</v>
      </c>
    </row>
    <row r="475" spans="1:12">
      <c r="A475">
        <v>209</v>
      </c>
      <c r="B475" t="s">
        <v>69</v>
      </c>
      <c r="C475" t="str">
        <f>shubetsu209&amp;""</f>
        <v/>
      </c>
      <c r="D475" t="str">
        <f>(IF(追加番明[[#This Row],[請求種別]]="2",(LEFT(billid209,10)),billid209))&amp;""</f>
        <v/>
      </c>
      <c r="E475" t="str">
        <f>UPPER(SUBSTITUTE(追加番明[[#This Row],[ご請求番号]],"-",""))</f>
        <v/>
      </c>
      <c r="F475" s="129"/>
      <c r="G475" s="129"/>
      <c r="H475" s="129"/>
      <c r="I475" s="129"/>
      <c r="J475" s="129"/>
      <c r="K475" s="129"/>
      <c r="L475" t="b">
        <f>IF(newbillingStationCustomerNumberOnly="",FALSE,shutoku209)</f>
        <v>0</v>
      </c>
    </row>
    <row r="476" spans="1:12">
      <c r="A476">
        <v>210</v>
      </c>
      <c r="B476" t="s">
        <v>69</v>
      </c>
      <c r="C476" t="str">
        <f>shubetsu210&amp;""</f>
        <v/>
      </c>
      <c r="D476" t="str">
        <f>(IF(追加番明[[#This Row],[請求種別]]="2",(LEFT(billid210,10)),billid210))&amp;""</f>
        <v/>
      </c>
      <c r="E476" t="str">
        <f>UPPER(SUBSTITUTE(追加番明[[#This Row],[ご請求番号]],"-",""))</f>
        <v/>
      </c>
      <c r="F476" s="129"/>
      <c r="G476" s="129"/>
      <c r="H476" s="129"/>
      <c r="I476" s="129"/>
      <c r="J476" s="129"/>
      <c r="K476" s="129"/>
      <c r="L476" t="b">
        <f>IF(newbillingStationCustomerNumberOnly="",FALSE,shutoku210)</f>
        <v>0</v>
      </c>
    </row>
    <row r="477" spans="1:12">
      <c r="A477">
        <v>211</v>
      </c>
      <c r="B477" t="s">
        <v>69</v>
      </c>
      <c r="C477" t="str">
        <f>shubetsu211&amp;""</f>
        <v/>
      </c>
      <c r="D477" t="str">
        <f>(IF(追加番明[[#This Row],[請求種別]]="2",(LEFT(billid211,10)),billid211))&amp;""</f>
        <v/>
      </c>
      <c r="E477" t="str">
        <f>UPPER(SUBSTITUTE(追加番明[[#This Row],[ご請求番号]],"-",""))</f>
        <v/>
      </c>
      <c r="F477" s="129"/>
      <c r="G477" s="129"/>
      <c r="H477" s="129"/>
      <c r="I477" s="129"/>
      <c r="J477" s="129"/>
      <c r="K477" s="129"/>
      <c r="L477" t="b">
        <f>IF(newbillingStationCustomerNumberOnly="",FALSE,shutoku211)</f>
        <v>0</v>
      </c>
    </row>
    <row r="478" spans="1:12">
      <c r="A478">
        <v>212</v>
      </c>
      <c r="B478" t="s">
        <v>69</v>
      </c>
      <c r="C478" t="str">
        <f>shubetsu212&amp;""</f>
        <v/>
      </c>
      <c r="D478" t="str">
        <f>(IF(追加番明[[#This Row],[請求種別]]="2",(LEFT(billid212,10)),billid212))&amp;""</f>
        <v/>
      </c>
      <c r="E478" t="str">
        <f>UPPER(SUBSTITUTE(追加番明[[#This Row],[ご請求番号]],"-",""))</f>
        <v/>
      </c>
      <c r="F478" s="129"/>
      <c r="G478" s="129"/>
      <c r="H478" s="129"/>
      <c r="I478" s="129"/>
      <c r="J478" s="129"/>
      <c r="K478" s="129"/>
      <c r="L478" t="b">
        <f>IF(newbillingStationCustomerNumberOnly="",FALSE,shutoku212)</f>
        <v>0</v>
      </c>
    </row>
    <row r="479" spans="1:12">
      <c r="A479">
        <v>213</v>
      </c>
      <c r="B479" t="s">
        <v>69</v>
      </c>
      <c r="C479" t="str">
        <f>shubetsu213&amp;""</f>
        <v/>
      </c>
      <c r="D479" t="str">
        <f>(IF(追加番明[[#This Row],[請求種別]]="2",(LEFT(billid213,10)),billid213))&amp;""</f>
        <v/>
      </c>
      <c r="E479" t="str">
        <f>UPPER(SUBSTITUTE(追加番明[[#This Row],[ご請求番号]],"-",""))</f>
        <v/>
      </c>
      <c r="F479" s="129"/>
      <c r="G479" s="129"/>
      <c r="H479" s="129"/>
      <c r="I479" s="129"/>
      <c r="J479" s="129"/>
      <c r="K479" s="129"/>
      <c r="L479" t="b">
        <f>IF(newbillingStationCustomerNumberOnly="",FALSE,shutoku213)</f>
        <v>0</v>
      </c>
    </row>
    <row r="480" spans="1:12">
      <c r="A480">
        <v>214</v>
      </c>
      <c r="B480" t="s">
        <v>69</v>
      </c>
      <c r="C480" t="str">
        <f>shubetsu214&amp;""</f>
        <v/>
      </c>
      <c r="D480" t="str">
        <f>(IF(追加番明[[#This Row],[請求種別]]="2",(LEFT(billid214,10)),billid214))&amp;""</f>
        <v/>
      </c>
      <c r="E480" t="str">
        <f>UPPER(SUBSTITUTE(追加番明[[#This Row],[ご請求番号]],"-",""))</f>
        <v/>
      </c>
      <c r="F480" s="129"/>
      <c r="G480" s="129"/>
      <c r="H480" s="129"/>
      <c r="I480" s="129"/>
      <c r="J480" s="129"/>
      <c r="K480" s="129"/>
      <c r="L480" t="b">
        <f>IF(newbillingStationCustomerNumberOnly="",FALSE,shutoku214)</f>
        <v>0</v>
      </c>
    </row>
    <row r="481" spans="1:12">
      <c r="A481">
        <v>215</v>
      </c>
      <c r="B481" t="s">
        <v>69</v>
      </c>
      <c r="C481" t="str">
        <f>shubetsu215&amp;""</f>
        <v/>
      </c>
      <c r="D481" t="str">
        <f>(IF(追加番明[[#This Row],[請求種別]]="2",(LEFT(billid215,10)),billid215))&amp;""</f>
        <v/>
      </c>
      <c r="E481" t="str">
        <f>UPPER(SUBSTITUTE(追加番明[[#This Row],[ご請求番号]],"-",""))</f>
        <v/>
      </c>
      <c r="F481" s="129"/>
      <c r="G481" s="129"/>
      <c r="H481" s="129"/>
      <c r="I481" s="129"/>
      <c r="J481" s="129"/>
      <c r="K481" s="129"/>
      <c r="L481" t="b">
        <f>IF(newbillingStationCustomerNumberOnly="",FALSE,shutoku215)</f>
        <v>0</v>
      </c>
    </row>
    <row r="482" spans="1:12">
      <c r="A482">
        <v>216</v>
      </c>
      <c r="B482" t="s">
        <v>69</v>
      </c>
      <c r="C482" t="str">
        <f>shubetsu216&amp;""</f>
        <v/>
      </c>
      <c r="D482" t="str">
        <f>(IF(追加番明[[#This Row],[請求種別]]="2",(LEFT(billid216,10)),billid216))&amp;""</f>
        <v/>
      </c>
      <c r="E482" t="str">
        <f>UPPER(SUBSTITUTE(追加番明[[#This Row],[ご請求番号]],"-",""))</f>
        <v/>
      </c>
      <c r="F482" s="129"/>
      <c r="G482" s="129"/>
      <c r="H482" s="129"/>
      <c r="I482" s="129"/>
      <c r="J482" s="129"/>
      <c r="K482" s="129"/>
      <c r="L482" t="b">
        <f>IF(newbillingStationCustomerNumberOnly="",FALSE,shutoku216)</f>
        <v>0</v>
      </c>
    </row>
    <row r="483" spans="1:12">
      <c r="A483">
        <v>217</v>
      </c>
      <c r="B483" t="s">
        <v>69</v>
      </c>
      <c r="C483" t="str">
        <f>shubetsu217&amp;""</f>
        <v/>
      </c>
      <c r="D483" t="str">
        <f>(IF(追加番明[[#This Row],[請求種別]]="2",(LEFT(billid217,10)),billid217))&amp;""</f>
        <v/>
      </c>
      <c r="E483" t="str">
        <f>UPPER(SUBSTITUTE(追加番明[[#This Row],[ご請求番号]],"-",""))</f>
        <v/>
      </c>
      <c r="F483" s="129"/>
      <c r="G483" s="129"/>
      <c r="H483" s="129"/>
      <c r="I483" s="129"/>
      <c r="J483" s="129"/>
      <c r="K483" s="129"/>
      <c r="L483" t="b">
        <f>IF(newbillingStationCustomerNumberOnly="",FALSE,shutoku217)</f>
        <v>0</v>
      </c>
    </row>
    <row r="484" spans="1:12">
      <c r="A484">
        <v>218</v>
      </c>
      <c r="B484" t="s">
        <v>69</v>
      </c>
      <c r="C484" t="str">
        <f>shubetsu218&amp;""</f>
        <v/>
      </c>
      <c r="D484" t="str">
        <f>(IF(追加番明[[#This Row],[請求種別]]="2",(LEFT(billid218,10)),billid218))&amp;""</f>
        <v/>
      </c>
      <c r="E484" t="str">
        <f>UPPER(SUBSTITUTE(追加番明[[#This Row],[ご請求番号]],"-",""))</f>
        <v/>
      </c>
      <c r="F484" s="129"/>
      <c r="G484" s="129"/>
      <c r="H484" s="129"/>
      <c r="I484" s="129"/>
      <c r="J484" s="129"/>
      <c r="K484" s="129"/>
      <c r="L484" t="b">
        <f>IF(newbillingStationCustomerNumberOnly="",FALSE,shutoku218)</f>
        <v>0</v>
      </c>
    </row>
    <row r="485" spans="1:12">
      <c r="A485">
        <v>219</v>
      </c>
      <c r="B485" t="s">
        <v>69</v>
      </c>
      <c r="C485" t="str">
        <f>shubetsu219&amp;""</f>
        <v/>
      </c>
      <c r="D485" t="str">
        <f>(IF(追加番明[[#This Row],[請求種別]]="2",(LEFT(billid219,10)),billid219))&amp;""</f>
        <v/>
      </c>
      <c r="E485" t="str">
        <f>UPPER(SUBSTITUTE(追加番明[[#This Row],[ご請求番号]],"-",""))</f>
        <v/>
      </c>
      <c r="F485" s="129"/>
      <c r="G485" s="129"/>
      <c r="H485" s="129"/>
      <c r="I485" s="129"/>
      <c r="J485" s="129"/>
      <c r="K485" s="129"/>
      <c r="L485" t="b">
        <f>IF(newbillingStationCustomerNumberOnly="",FALSE,shutoku219)</f>
        <v>0</v>
      </c>
    </row>
    <row r="486" spans="1:12">
      <c r="A486">
        <v>220</v>
      </c>
      <c r="B486" t="s">
        <v>69</v>
      </c>
      <c r="C486" t="str">
        <f>shubetsu220&amp;""</f>
        <v/>
      </c>
      <c r="D486" t="str">
        <f>(IF(追加番明[[#This Row],[請求種別]]="2",(LEFT(billid220,10)),billid220))&amp;""</f>
        <v/>
      </c>
      <c r="E486" t="str">
        <f>UPPER(SUBSTITUTE(追加番明[[#This Row],[ご請求番号]],"-",""))</f>
        <v/>
      </c>
      <c r="F486" s="129"/>
      <c r="G486" s="129"/>
      <c r="H486" s="129"/>
      <c r="I486" s="129"/>
      <c r="J486" s="129"/>
      <c r="K486" s="129"/>
      <c r="L486" t="b">
        <f>IF(newbillingStationCustomerNumberOnly="",FALSE,shutoku220)</f>
        <v>0</v>
      </c>
    </row>
    <row r="487" spans="1:12">
      <c r="A487">
        <v>221</v>
      </c>
      <c r="B487" t="s">
        <v>69</v>
      </c>
      <c r="C487" t="str">
        <f>shubetsu221&amp;""</f>
        <v/>
      </c>
      <c r="D487" t="str">
        <f>(IF(追加番明[[#This Row],[請求種別]]="2",(LEFT(billid221,10)),billid221))&amp;""</f>
        <v/>
      </c>
      <c r="E487" t="str">
        <f>UPPER(SUBSTITUTE(追加番明[[#This Row],[ご請求番号]],"-",""))</f>
        <v/>
      </c>
      <c r="F487" s="129"/>
      <c r="G487" s="129"/>
      <c r="H487" s="129"/>
      <c r="I487" s="129"/>
      <c r="J487" s="129"/>
      <c r="K487" s="129"/>
      <c r="L487" t="b">
        <f>IF(newbillingStationCustomerNumberOnly="",FALSE,shutoku221)</f>
        <v>0</v>
      </c>
    </row>
    <row r="488" spans="1:12">
      <c r="A488">
        <v>222</v>
      </c>
      <c r="B488" t="s">
        <v>69</v>
      </c>
      <c r="C488" t="str">
        <f>shubetsu222&amp;""</f>
        <v/>
      </c>
      <c r="D488" t="str">
        <f>(IF(追加番明[[#This Row],[請求種別]]="2",(LEFT(billid222,10)),billid222))&amp;""</f>
        <v/>
      </c>
      <c r="E488" t="str">
        <f>UPPER(SUBSTITUTE(追加番明[[#This Row],[ご請求番号]],"-",""))</f>
        <v/>
      </c>
      <c r="F488" s="129"/>
      <c r="G488" s="129"/>
      <c r="H488" s="129"/>
      <c r="I488" s="129"/>
      <c r="J488" s="129"/>
      <c r="K488" s="129"/>
      <c r="L488" t="b">
        <f>IF(newbillingStationCustomerNumberOnly="",FALSE,shutoku222)</f>
        <v>0</v>
      </c>
    </row>
    <row r="489" spans="1:12">
      <c r="A489">
        <v>223</v>
      </c>
      <c r="B489" t="s">
        <v>69</v>
      </c>
      <c r="C489" t="str">
        <f>shubetsu223&amp;""</f>
        <v/>
      </c>
      <c r="D489" t="str">
        <f>(IF(追加番明[[#This Row],[請求種別]]="2",(LEFT(billid223,10)),billid223))&amp;""</f>
        <v/>
      </c>
      <c r="E489" t="str">
        <f>UPPER(SUBSTITUTE(追加番明[[#This Row],[ご請求番号]],"-",""))</f>
        <v/>
      </c>
      <c r="F489" s="129"/>
      <c r="G489" s="129"/>
      <c r="H489" s="129"/>
      <c r="I489" s="129"/>
      <c r="J489" s="129"/>
      <c r="K489" s="129"/>
      <c r="L489" t="b">
        <f>IF(newbillingStationCustomerNumberOnly="",FALSE,shutoku223)</f>
        <v>0</v>
      </c>
    </row>
    <row r="490" spans="1:12">
      <c r="A490">
        <v>224</v>
      </c>
      <c r="B490" t="s">
        <v>69</v>
      </c>
      <c r="C490" t="str">
        <f>shubetsu224&amp;""</f>
        <v/>
      </c>
      <c r="D490" t="str">
        <f>(IF(追加番明[[#This Row],[請求種別]]="2",(LEFT(billid224,10)),billid224))&amp;""</f>
        <v/>
      </c>
      <c r="E490" t="str">
        <f>UPPER(SUBSTITUTE(追加番明[[#This Row],[ご請求番号]],"-",""))</f>
        <v/>
      </c>
      <c r="F490" s="129"/>
      <c r="G490" s="129"/>
      <c r="H490" s="129"/>
      <c r="I490" s="129"/>
      <c r="J490" s="129"/>
      <c r="K490" s="129"/>
      <c r="L490" t="b">
        <f>IF(newbillingStationCustomerNumberOnly="",FALSE,shutoku224)</f>
        <v>0</v>
      </c>
    </row>
    <row r="491" spans="1:12">
      <c r="A491">
        <v>225</v>
      </c>
      <c r="B491" t="s">
        <v>69</v>
      </c>
      <c r="C491" t="str">
        <f>shubetsu225&amp;""</f>
        <v/>
      </c>
      <c r="D491" t="str">
        <f>(IF(追加番明[[#This Row],[請求種別]]="2",(LEFT(billid225,10)),billid225))&amp;""</f>
        <v/>
      </c>
      <c r="E491" t="str">
        <f>UPPER(SUBSTITUTE(追加番明[[#This Row],[ご請求番号]],"-",""))</f>
        <v/>
      </c>
      <c r="F491" s="129"/>
      <c r="G491" s="129"/>
      <c r="H491" s="129"/>
      <c r="I491" s="129"/>
      <c r="J491" s="129"/>
      <c r="K491" s="129"/>
      <c r="L491" t="b">
        <f>IF(newbillingStationCustomerNumberOnly="",FALSE,shutoku225)</f>
        <v>0</v>
      </c>
    </row>
    <row r="492" spans="1:12">
      <c r="A492">
        <v>226</v>
      </c>
      <c r="B492" t="s">
        <v>69</v>
      </c>
      <c r="C492" t="str">
        <f>shubetsu226&amp;""</f>
        <v/>
      </c>
      <c r="D492" t="str">
        <f>(IF(追加番明[[#This Row],[請求種別]]="2",(LEFT(billid226,10)),billid226))&amp;""</f>
        <v/>
      </c>
      <c r="E492" t="str">
        <f>UPPER(SUBSTITUTE(追加番明[[#This Row],[ご請求番号]],"-",""))</f>
        <v/>
      </c>
      <c r="F492" s="129"/>
      <c r="G492" s="129"/>
      <c r="H492" s="129"/>
      <c r="I492" s="129"/>
      <c r="J492" s="129"/>
      <c r="K492" s="129"/>
      <c r="L492" t="b">
        <f>IF(newbillingStationCustomerNumberOnly="",FALSE,shutoku226)</f>
        <v>0</v>
      </c>
    </row>
    <row r="493" spans="1:12">
      <c r="A493">
        <v>227</v>
      </c>
      <c r="B493" t="s">
        <v>69</v>
      </c>
      <c r="C493" t="str">
        <f>shubetsu227&amp;""</f>
        <v/>
      </c>
      <c r="D493" t="str">
        <f>(IF(追加番明[[#This Row],[請求種別]]="2",(LEFT(billid227,10)),billid227))&amp;""</f>
        <v/>
      </c>
      <c r="E493" t="str">
        <f>UPPER(SUBSTITUTE(追加番明[[#This Row],[ご請求番号]],"-",""))</f>
        <v/>
      </c>
      <c r="F493" s="129"/>
      <c r="G493" s="129"/>
      <c r="H493" s="129"/>
      <c r="I493" s="129"/>
      <c r="J493" s="129"/>
      <c r="K493" s="129"/>
      <c r="L493" t="b">
        <f>IF(newbillingStationCustomerNumberOnly="",FALSE,shutoku227)</f>
        <v>0</v>
      </c>
    </row>
    <row r="494" spans="1:12">
      <c r="A494">
        <v>228</v>
      </c>
      <c r="B494" t="s">
        <v>69</v>
      </c>
      <c r="C494" t="str">
        <f>shubetsu228&amp;""</f>
        <v/>
      </c>
      <c r="D494" t="str">
        <f>(IF(追加番明[[#This Row],[請求種別]]="2",(LEFT(billid228,10)),billid228))&amp;""</f>
        <v/>
      </c>
      <c r="E494" t="str">
        <f>UPPER(SUBSTITUTE(追加番明[[#This Row],[ご請求番号]],"-",""))</f>
        <v/>
      </c>
      <c r="F494" s="129"/>
      <c r="G494" s="129"/>
      <c r="H494" s="129"/>
      <c r="I494" s="129"/>
      <c r="J494" s="129"/>
      <c r="K494" s="129"/>
      <c r="L494" t="b">
        <f>IF(newbillingStationCustomerNumberOnly="",FALSE,shutoku228)</f>
        <v>0</v>
      </c>
    </row>
    <row r="495" spans="1:12">
      <c r="A495">
        <v>229</v>
      </c>
      <c r="B495" t="s">
        <v>69</v>
      </c>
      <c r="C495" t="str">
        <f>shubetsu229&amp;""</f>
        <v/>
      </c>
      <c r="D495" t="str">
        <f>(IF(追加番明[[#This Row],[請求種別]]="2",(LEFT(billid229,10)),billid229))&amp;""</f>
        <v/>
      </c>
      <c r="E495" t="str">
        <f>UPPER(SUBSTITUTE(追加番明[[#This Row],[ご請求番号]],"-",""))</f>
        <v/>
      </c>
      <c r="F495" s="129"/>
      <c r="G495" s="129"/>
      <c r="H495" s="129"/>
      <c r="I495" s="129"/>
      <c r="J495" s="129"/>
      <c r="K495" s="129"/>
      <c r="L495" t="b">
        <f>IF(newbillingStationCustomerNumberOnly="",FALSE,shutoku229)</f>
        <v>0</v>
      </c>
    </row>
    <row r="496" spans="1:12">
      <c r="A496">
        <v>230</v>
      </c>
      <c r="B496" t="s">
        <v>69</v>
      </c>
      <c r="C496" t="str">
        <f>shubetsu230&amp;""</f>
        <v/>
      </c>
      <c r="D496" t="str">
        <f>(IF(追加番明[[#This Row],[請求種別]]="2",(LEFT(billid230,10)),billid230))&amp;""</f>
        <v/>
      </c>
      <c r="E496" t="str">
        <f>UPPER(SUBSTITUTE(追加番明[[#This Row],[ご請求番号]],"-",""))</f>
        <v/>
      </c>
      <c r="F496" s="129"/>
      <c r="G496" s="129"/>
      <c r="H496" s="129"/>
      <c r="I496" s="129"/>
      <c r="J496" s="129"/>
      <c r="K496" s="129"/>
      <c r="L496" t="b">
        <f>IF(newbillingStationCustomerNumberOnly="",FALSE,shutoku230)</f>
        <v>0</v>
      </c>
    </row>
    <row r="497" spans="1:12">
      <c r="A497">
        <v>231</v>
      </c>
      <c r="B497" t="s">
        <v>69</v>
      </c>
      <c r="C497" t="str">
        <f>shubetsu231&amp;""</f>
        <v/>
      </c>
      <c r="D497" t="str">
        <f>(IF(追加番明[[#This Row],[請求種別]]="2",(LEFT(billid231,10)),billid231))&amp;""</f>
        <v/>
      </c>
      <c r="E497" t="str">
        <f>UPPER(SUBSTITUTE(追加番明[[#This Row],[ご請求番号]],"-",""))</f>
        <v/>
      </c>
      <c r="F497" s="129"/>
      <c r="G497" s="129"/>
      <c r="H497" s="129"/>
      <c r="I497" s="129"/>
      <c r="J497" s="129"/>
      <c r="K497" s="129"/>
      <c r="L497" t="b">
        <f>IF(newbillingStationCustomerNumberOnly="",FALSE,shutoku231)</f>
        <v>0</v>
      </c>
    </row>
    <row r="498" spans="1:12">
      <c r="A498">
        <v>232</v>
      </c>
      <c r="B498" t="s">
        <v>69</v>
      </c>
      <c r="C498" t="str">
        <f>shubetsu232&amp;""</f>
        <v/>
      </c>
      <c r="D498" t="str">
        <f>(IF(追加番明[[#This Row],[請求種別]]="2",(LEFT(billid232,10)),billid232))&amp;""</f>
        <v/>
      </c>
      <c r="E498" t="str">
        <f>UPPER(SUBSTITUTE(追加番明[[#This Row],[ご請求番号]],"-",""))</f>
        <v/>
      </c>
      <c r="F498" s="129"/>
      <c r="G498" s="129"/>
      <c r="H498" s="129"/>
      <c r="I498" s="129"/>
      <c r="J498" s="129"/>
      <c r="K498" s="129"/>
      <c r="L498" t="b">
        <f>IF(newbillingStationCustomerNumberOnly="",FALSE,shutoku232)</f>
        <v>0</v>
      </c>
    </row>
    <row r="499" spans="1:12">
      <c r="A499">
        <v>233</v>
      </c>
      <c r="B499" t="s">
        <v>69</v>
      </c>
      <c r="C499" t="str">
        <f>shubetsu233&amp;""</f>
        <v/>
      </c>
      <c r="D499" t="str">
        <f>(IF(追加番明[[#This Row],[請求種別]]="2",(LEFT(billid233,10)),billid233))&amp;""</f>
        <v/>
      </c>
      <c r="E499" t="str">
        <f>UPPER(SUBSTITUTE(追加番明[[#This Row],[ご請求番号]],"-",""))</f>
        <v/>
      </c>
      <c r="F499" s="129"/>
      <c r="G499" s="129"/>
      <c r="H499" s="129"/>
      <c r="I499" s="129"/>
      <c r="J499" s="129"/>
      <c r="K499" s="129"/>
      <c r="L499" t="b">
        <f>IF(newbillingStationCustomerNumberOnly="",FALSE,shutoku233)</f>
        <v>0</v>
      </c>
    </row>
    <row r="500" spans="1:12">
      <c r="A500">
        <v>234</v>
      </c>
      <c r="B500" t="s">
        <v>69</v>
      </c>
      <c r="C500" t="str">
        <f>shubetsu234&amp;""</f>
        <v/>
      </c>
      <c r="D500" t="str">
        <f>(IF(追加番明[[#This Row],[請求種別]]="2",(LEFT(billid234,10)),billid234))&amp;""</f>
        <v/>
      </c>
      <c r="E500" t="str">
        <f>UPPER(SUBSTITUTE(追加番明[[#This Row],[ご請求番号]],"-",""))</f>
        <v/>
      </c>
      <c r="F500" s="129"/>
      <c r="G500" s="129"/>
      <c r="H500" s="129"/>
      <c r="I500" s="129"/>
      <c r="J500" s="129"/>
      <c r="K500" s="129"/>
      <c r="L500" t="b">
        <f>IF(newbillingStationCustomerNumberOnly="",FALSE,shutoku234)</f>
        <v>0</v>
      </c>
    </row>
    <row r="501" spans="1:12">
      <c r="A501">
        <v>235</v>
      </c>
      <c r="B501" t="s">
        <v>69</v>
      </c>
      <c r="C501" t="str">
        <f>shubetsu235&amp;""</f>
        <v/>
      </c>
      <c r="D501" t="str">
        <f>(IF(追加番明[[#This Row],[請求種別]]="2",(LEFT(billid235,10)),billid235))&amp;""</f>
        <v/>
      </c>
      <c r="E501" t="str">
        <f>UPPER(SUBSTITUTE(追加番明[[#This Row],[ご請求番号]],"-",""))</f>
        <v/>
      </c>
      <c r="F501" s="129"/>
      <c r="G501" s="129"/>
      <c r="H501" s="129"/>
      <c r="I501" s="129"/>
      <c r="J501" s="129"/>
      <c r="K501" s="129"/>
      <c r="L501" t="b">
        <f>IF(newbillingStationCustomerNumberOnly="",FALSE,shutoku235)</f>
        <v>0</v>
      </c>
    </row>
    <row r="502" spans="1:12">
      <c r="A502">
        <v>236</v>
      </c>
      <c r="B502" t="s">
        <v>69</v>
      </c>
      <c r="C502" t="str">
        <f>shubetsu236&amp;""</f>
        <v/>
      </c>
      <c r="D502" t="str">
        <f>(IF(追加番明[[#This Row],[請求種別]]="2",(LEFT(billid236,10)),billid236))&amp;""</f>
        <v/>
      </c>
      <c r="E502" t="str">
        <f>UPPER(SUBSTITUTE(追加番明[[#This Row],[ご請求番号]],"-",""))</f>
        <v/>
      </c>
      <c r="F502" s="129"/>
      <c r="G502" s="129"/>
      <c r="H502" s="129"/>
      <c r="I502" s="129"/>
      <c r="J502" s="129"/>
      <c r="K502" s="129"/>
      <c r="L502" t="b">
        <f>IF(newbillingStationCustomerNumberOnly="",FALSE,shutoku236)</f>
        <v>0</v>
      </c>
    </row>
    <row r="503" spans="1:12">
      <c r="A503">
        <v>237</v>
      </c>
      <c r="B503" t="s">
        <v>69</v>
      </c>
      <c r="C503" t="str">
        <f>shubetsu237&amp;""</f>
        <v/>
      </c>
      <c r="D503" t="str">
        <f>(IF(追加番明[[#This Row],[請求種別]]="2",(LEFT(billid237,10)),billid237))&amp;""</f>
        <v/>
      </c>
      <c r="E503" t="str">
        <f>UPPER(SUBSTITUTE(追加番明[[#This Row],[ご請求番号]],"-",""))</f>
        <v/>
      </c>
      <c r="F503" s="129"/>
      <c r="G503" s="129"/>
      <c r="H503" s="129"/>
      <c r="I503" s="129"/>
      <c r="J503" s="129"/>
      <c r="K503" s="129"/>
      <c r="L503" t="b">
        <f>IF(newbillingStationCustomerNumberOnly="",FALSE,shutoku237)</f>
        <v>0</v>
      </c>
    </row>
    <row r="504" spans="1:12">
      <c r="A504">
        <v>238</v>
      </c>
      <c r="B504" t="s">
        <v>69</v>
      </c>
      <c r="C504" t="str">
        <f>shubetsu238&amp;""</f>
        <v/>
      </c>
      <c r="D504" t="str">
        <f>(IF(追加番明[[#This Row],[請求種別]]="2",(LEFT(billid238,10)),billid238))&amp;""</f>
        <v/>
      </c>
      <c r="E504" t="str">
        <f>UPPER(SUBSTITUTE(追加番明[[#This Row],[ご請求番号]],"-",""))</f>
        <v/>
      </c>
      <c r="F504" s="129"/>
      <c r="G504" s="129"/>
      <c r="H504" s="129"/>
      <c r="I504" s="129"/>
      <c r="J504" s="129"/>
      <c r="K504" s="129"/>
      <c r="L504" t="b">
        <f>IF(newbillingStationCustomerNumberOnly="",FALSE,shutoku238)</f>
        <v>0</v>
      </c>
    </row>
    <row r="505" spans="1:12">
      <c r="A505">
        <v>239</v>
      </c>
      <c r="B505" t="s">
        <v>69</v>
      </c>
      <c r="C505" t="str">
        <f>shubetsu239&amp;""</f>
        <v/>
      </c>
      <c r="D505" t="str">
        <f>(IF(追加番明[[#This Row],[請求種別]]="2",(LEFT(billid239,10)),billid239))&amp;""</f>
        <v/>
      </c>
      <c r="E505" t="str">
        <f>UPPER(SUBSTITUTE(追加番明[[#This Row],[ご請求番号]],"-",""))</f>
        <v/>
      </c>
      <c r="F505" s="129"/>
      <c r="G505" s="129"/>
      <c r="H505" s="129"/>
      <c r="I505" s="129"/>
      <c r="J505" s="129"/>
      <c r="K505" s="129"/>
      <c r="L505" t="b">
        <f>IF(newbillingStationCustomerNumberOnly="",FALSE,shutoku239)</f>
        <v>0</v>
      </c>
    </row>
    <row r="506" spans="1:12">
      <c r="A506">
        <v>240</v>
      </c>
      <c r="B506" t="s">
        <v>69</v>
      </c>
      <c r="C506" t="str">
        <f>shubetsu240&amp;""</f>
        <v/>
      </c>
      <c r="D506" t="str">
        <f>(IF(追加番明[[#This Row],[請求種別]]="2",(LEFT(billid240,10)),billid240))&amp;""</f>
        <v/>
      </c>
      <c r="E506" t="str">
        <f>UPPER(SUBSTITUTE(追加番明[[#This Row],[ご請求番号]],"-",""))</f>
        <v/>
      </c>
      <c r="F506" s="129"/>
      <c r="G506" s="129"/>
      <c r="H506" s="129"/>
      <c r="I506" s="129"/>
      <c r="J506" s="129"/>
      <c r="K506" s="129"/>
      <c r="L506" t="b">
        <f>IF(newbillingStationCustomerNumberOnly="",FALSE,shutoku240)</f>
        <v>0</v>
      </c>
    </row>
    <row r="507" spans="1:12">
      <c r="A507">
        <v>241</v>
      </c>
      <c r="B507" t="s">
        <v>69</v>
      </c>
      <c r="C507" t="str">
        <f>shubetsu241&amp;""</f>
        <v/>
      </c>
      <c r="D507" t="str">
        <f>(IF(追加番明[[#This Row],[請求種別]]="2",(LEFT(billid241,10)),billid241))&amp;""</f>
        <v/>
      </c>
      <c r="E507" t="str">
        <f>UPPER(SUBSTITUTE(追加番明[[#This Row],[ご請求番号]],"-",""))</f>
        <v/>
      </c>
      <c r="F507" s="129"/>
      <c r="G507" s="129"/>
      <c r="H507" s="129"/>
      <c r="I507" s="129"/>
      <c r="J507" s="129"/>
      <c r="K507" s="129"/>
      <c r="L507" t="b">
        <f>IF(newbillingStationCustomerNumberOnly="",FALSE,shutoku241)</f>
        <v>0</v>
      </c>
    </row>
    <row r="508" spans="1:12">
      <c r="A508">
        <v>242</v>
      </c>
      <c r="B508" t="s">
        <v>69</v>
      </c>
      <c r="C508" t="str">
        <f>shubetsu242&amp;""</f>
        <v/>
      </c>
      <c r="D508" t="str">
        <f>(IF(追加番明[[#This Row],[請求種別]]="2",(LEFT(billid242,10)),billid242))&amp;""</f>
        <v/>
      </c>
      <c r="E508" t="str">
        <f>UPPER(SUBSTITUTE(追加番明[[#This Row],[ご請求番号]],"-",""))</f>
        <v/>
      </c>
      <c r="F508" s="129"/>
      <c r="G508" s="129"/>
      <c r="H508" s="129"/>
      <c r="I508" s="129"/>
      <c r="J508" s="129"/>
      <c r="K508" s="129"/>
      <c r="L508" t="b">
        <f>IF(newbillingStationCustomerNumberOnly="",FALSE,shutoku242)</f>
        <v>0</v>
      </c>
    </row>
    <row r="509" spans="1:12">
      <c r="A509">
        <v>243</v>
      </c>
      <c r="B509" t="s">
        <v>69</v>
      </c>
      <c r="C509" t="str">
        <f>shubetsu243&amp;""</f>
        <v/>
      </c>
      <c r="D509" t="str">
        <f>(IF(追加番明[[#This Row],[請求種別]]="2",(LEFT(billid243,10)),billid243))&amp;""</f>
        <v/>
      </c>
      <c r="E509" t="str">
        <f>UPPER(SUBSTITUTE(追加番明[[#This Row],[ご請求番号]],"-",""))</f>
        <v/>
      </c>
      <c r="F509" s="129"/>
      <c r="G509" s="129"/>
      <c r="H509" s="129"/>
      <c r="I509" s="129"/>
      <c r="J509" s="129"/>
      <c r="K509" s="129"/>
      <c r="L509" t="b">
        <f>IF(newbillingStationCustomerNumberOnly="",FALSE,shutoku243)</f>
        <v>0</v>
      </c>
    </row>
    <row r="510" spans="1:12">
      <c r="A510">
        <v>244</v>
      </c>
      <c r="B510" t="s">
        <v>69</v>
      </c>
      <c r="C510" t="str">
        <f>shubetsu244&amp;""</f>
        <v/>
      </c>
      <c r="D510" t="str">
        <f>(IF(追加番明[[#This Row],[請求種別]]="2",(LEFT(billid244,10)),billid244))&amp;""</f>
        <v/>
      </c>
      <c r="E510" t="str">
        <f>UPPER(SUBSTITUTE(追加番明[[#This Row],[ご請求番号]],"-",""))</f>
        <v/>
      </c>
      <c r="F510" s="129"/>
      <c r="G510" s="129"/>
      <c r="H510" s="129"/>
      <c r="I510" s="129"/>
      <c r="J510" s="129"/>
      <c r="K510" s="129"/>
      <c r="L510" t="b">
        <f>IF(newbillingStationCustomerNumberOnly="",FALSE,shutoku244)</f>
        <v>0</v>
      </c>
    </row>
    <row r="511" spans="1:12">
      <c r="A511">
        <v>245</v>
      </c>
      <c r="B511" t="s">
        <v>69</v>
      </c>
      <c r="C511" t="str">
        <f>shubetsu245&amp;""</f>
        <v/>
      </c>
      <c r="D511" t="str">
        <f>(IF(追加番明[[#This Row],[請求種別]]="2",(LEFT(billid245,10)),billid245))&amp;""</f>
        <v/>
      </c>
      <c r="E511" t="str">
        <f>UPPER(SUBSTITUTE(追加番明[[#This Row],[ご請求番号]],"-",""))</f>
        <v/>
      </c>
      <c r="F511" s="129"/>
      <c r="G511" s="129"/>
      <c r="H511" s="129"/>
      <c r="I511" s="129"/>
      <c r="J511" s="129"/>
      <c r="K511" s="129"/>
      <c r="L511" t="b">
        <f>IF(newbillingStationCustomerNumberOnly="",FALSE,shutoku245)</f>
        <v>0</v>
      </c>
    </row>
    <row r="512" spans="1:12">
      <c r="A512">
        <v>246</v>
      </c>
      <c r="B512" t="s">
        <v>69</v>
      </c>
      <c r="C512" t="str">
        <f>shubetsu246&amp;""</f>
        <v/>
      </c>
      <c r="D512" t="str">
        <f>(IF(追加番明[[#This Row],[請求種別]]="2",(LEFT(billid246,10)),billid246))&amp;""</f>
        <v/>
      </c>
      <c r="E512" t="str">
        <f>UPPER(SUBSTITUTE(追加番明[[#This Row],[ご請求番号]],"-",""))</f>
        <v/>
      </c>
      <c r="F512" s="129"/>
      <c r="G512" s="129"/>
      <c r="H512" s="129"/>
      <c r="I512" s="129"/>
      <c r="J512" s="129"/>
      <c r="K512" s="129"/>
      <c r="L512" t="b">
        <f>IF(newbillingStationCustomerNumberOnly="",FALSE,shutoku246)</f>
        <v>0</v>
      </c>
    </row>
    <row r="513" spans="1:12">
      <c r="A513">
        <v>247</v>
      </c>
      <c r="B513" t="s">
        <v>69</v>
      </c>
      <c r="C513" t="str">
        <f>shubetsu247&amp;""</f>
        <v/>
      </c>
      <c r="D513" t="str">
        <f>(IF(追加番明[[#This Row],[請求種別]]="2",(LEFT(billid247,10)),billid247))&amp;""</f>
        <v/>
      </c>
      <c r="E513" t="str">
        <f>UPPER(SUBSTITUTE(追加番明[[#This Row],[ご請求番号]],"-",""))</f>
        <v/>
      </c>
      <c r="F513" s="129"/>
      <c r="G513" s="129"/>
      <c r="H513" s="129"/>
      <c r="I513" s="129"/>
      <c r="J513" s="129"/>
      <c r="K513" s="129"/>
      <c r="L513" t="b">
        <f>IF(newbillingStationCustomerNumberOnly="",FALSE,shutoku247)</f>
        <v>0</v>
      </c>
    </row>
    <row r="514" spans="1:12">
      <c r="A514">
        <v>248</v>
      </c>
      <c r="B514" t="s">
        <v>69</v>
      </c>
      <c r="C514" t="str">
        <f>shubetsu248&amp;""</f>
        <v/>
      </c>
      <c r="D514" t="str">
        <f>(IF(追加番明[[#This Row],[請求種別]]="2",(LEFT(billid248,10)),billid248))&amp;""</f>
        <v/>
      </c>
      <c r="E514" t="str">
        <f>UPPER(SUBSTITUTE(追加番明[[#This Row],[ご請求番号]],"-",""))</f>
        <v/>
      </c>
      <c r="F514" s="129"/>
      <c r="G514" s="129"/>
      <c r="H514" s="129"/>
      <c r="I514" s="129"/>
      <c r="J514" s="129"/>
      <c r="K514" s="129"/>
      <c r="L514" t="b">
        <f>IF(newbillingStationCustomerNumberOnly="",FALSE,shutoku248)</f>
        <v>0</v>
      </c>
    </row>
    <row r="515" spans="1:12">
      <c r="A515">
        <v>249</v>
      </c>
      <c r="B515" t="s">
        <v>69</v>
      </c>
      <c r="C515" t="str">
        <f>shubetsu249&amp;""</f>
        <v/>
      </c>
      <c r="D515" t="str">
        <f>(IF(追加番明[[#This Row],[請求種別]]="2",(LEFT(billid249,10)),billid249))&amp;""</f>
        <v/>
      </c>
      <c r="E515" t="str">
        <f>UPPER(SUBSTITUTE(追加番明[[#This Row],[ご請求番号]],"-",""))</f>
        <v/>
      </c>
      <c r="F515" s="129"/>
      <c r="G515" s="129"/>
      <c r="H515" s="129"/>
      <c r="I515" s="129"/>
      <c r="J515" s="129"/>
      <c r="K515" s="129"/>
      <c r="L515" t="b">
        <f>IF(newbillingStationCustomerNumberOnly="",FALSE,shutoku249)</f>
        <v>0</v>
      </c>
    </row>
    <row r="516" spans="1:12">
      <c r="A516">
        <v>250</v>
      </c>
      <c r="B516" t="s">
        <v>69</v>
      </c>
      <c r="C516" t="str">
        <f>shubetsu250&amp;""</f>
        <v/>
      </c>
      <c r="D516" t="str">
        <f>(IF(追加番明[[#This Row],[請求種別]]="2",(LEFT(billid250,10)),billid250))&amp;""</f>
        <v/>
      </c>
      <c r="E516" t="str">
        <f>UPPER(SUBSTITUTE(追加番明[[#This Row],[ご請求番号]],"-",""))</f>
        <v/>
      </c>
      <c r="F516" s="129"/>
      <c r="G516" s="129"/>
      <c r="H516" s="129"/>
      <c r="I516" s="129"/>
      <c r="J516" s="129"/>
      <c r="K516" s="129"/>
      <c r="L516" t="b">
        <f>IF(newbillingStationCustomerNumberOnly="",FALSE,shutoku250)</f>
        <v>0</v>
      </c>
    </row>
  </sheetData>
  <phoneticPr fontId="1"/>
  <pageMargins left="0.7" right="0.7" top="0.75" bottom="0.75" header="0.3" footer="0.3"/>
  <pageSetup paperSize="9" orientation="portrait" r:id="rId1"/>
  <tableParts count="5">
    <tablePart r:id="rId2"/>
    <tablePart r:id="rId3"/>
    <tablePart r:id="rId4"/>
    <tablePart r:id="rId5"/>
    <tablePart r:id="rId6"/>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C61D28-5738-470B-B963-DDBDA7C21E6A}">
  <dimension ref="A3:A21"/>
  <sheetViews>
    <sheetView workbookViewId="0">
      <selection activeCell="AA9" sqref="AA9"/>
    </sheetView>
  </sheetViews>
  <sheetFormatPr defaultRowHeight="13.5"/>
  <cols>
    <col min="1" max="1" width="32.25" customWidth="1"/>
  </cols>
  <sheetData>
    <row r="3" spans="1:1" ht="27">
      <c r="A3" s="7" t="s">
        <v>39</v>
      </c>
    </row>
    <row r="4" spans="1:1">
      <c r="A4" s="7" t="s">
        <v>51</v>
      </c>
    </row>
    <row r="5" spans="1:1">
      <c r="A5" t="s">
        <v>40</v>
      </c>
    </row>
    <row r="6" spans="1:1">
      <c r="A6" t="s">
        <v>41</v>
      </c>
    </row>
    <row r="9" spans="1:1">
      <c r="A9" t="s">
        <v>42</v>
      </c>
    </row>
    <row r="10" spans="1:1">
      <c r="A10" t="s">
        <v>43</v>
      </c>
    </row>
    <row r="11" spans="1:1">
      <c r="A11" t="s">
        <v>44</v>
      </c>
    </row>
    <row r="13" spans="1:1">
      <c r="A13" t="s">
        <v>49</v>
      </c>
    </row>
    <row r="15" spans="1:1" ht="16.5">
      <c r="A15" s="8" t="s">
        <v>50</v>
      </c>
    </row>
    <row r="19" spans="1:1">
      <c r="A19" t="s">
        <v>68</v>
      </c>
    </row>
    <row r="20" spans="1:1">
      <c r="A20" t="s">
        <v>69</v>
      </c>
    </row>
    <row r="21" spans="1:1">
      <c r="A21" t="s">
        <v>70</v>
      </c>
    </row>
  </sheetData>
  <phoneticPr fontId="1"/>
  <pageMargins left="0.7" right="0.7" top="0.75" bottom="0.75" header="0.3" footer="0.3"/>
  <pageSetup paperSize="0" orientation="portrait" horizontalDpi="0" verticalDpi="0" copies="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a8e6cb0d-bb3d-449c-b702-58119383dc93">
      <Terms xmlns="http://schemas.microsoft.com/office/infopath/2007/PartnerControls"/>
    </lcf76f155ced4ddcb4097134ff3c332f>
    <TaxCatchAll xmlns="737be5a6-7274-453e-8949-6b4e16d48edb" xsi:nil="true"/>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180F4E9C1AB8045B6C34C8F903AEFCB" ma:contentTypeVersion="20" ma:contentTypeDescription="新しいドキュメントを作成します。" ma:contentTypeScope="" ma:versionID="ce32458ced44c4a89c22ff2c0bb3ece6">
  <xsd:schema xmlns:xsd="http://www.w3.org/2001/XMLSchema" xmlns:xs="http://www.w3.org/2001/XMLSchema" xmlns:p="http://schemas.microsoft.com/office/2006/metadata/properties" xmlns:ns1="http://schemas.microsoft.com/sharepoint/v3" xmlns:ns2="a8e6cb0d-bb3d-449c-b702-58119383dc93" xmlns:ns3="737be5a6-7274-453e-8949-6b4e16d48edb" targetNamespace="http://schemas.microsoft.com/office/2006/metadata/properties" ma:root="true" ma:fieldsID="5953f4bbac1e6d1e074fc01ac997646e" ns1:_="" ns2:_="" ns3:_="">
    <xsd:import namespace="http://schemas.microsoft.com/sharepoint/v3"/>
    <xsd:import namespace="a8e6cb0d-bb3d-449c-b702-58119383dc93"/>
    <xsd:import namespace="737be5a6-7274-453e-8949-6b4e16d48edb"/>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1:_ip_UnifiedCompliancePolicyProperties" minOccurs="0"/>
                <xsd:element ref="ns1:_ip_UnifiedCompliancePolicyUIAction" minOccurs="0"/>
                <xsd:element ref="ns2:MediaServiceAutoKeyPoints" minOccurs="0"/>
                <xsd:element ref="ns2:MediaServiceKeyPoints"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6" nillable="true" ma:displayName="統合コンプライアンス ポリシーのプロパティ" ma:hidden="true" ma:internalName="_ip_UnifiedCompliancePolicyProperties">
      <xsd:simpleType>
        <xsd:restriction base="dms:Note"/>
      </xsd:simpleType>
    </xsd:element>
    <xsd:element name="_ip_UnifiedCompliancePolicyUIAction" ma:index="17" nillable="true" ma:displayName="統合コンプライアンス ポリシーの UI アクション"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8e6cb0d-bb3d-449c-b702-58119383dc9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画像タグ" ma:readOnly="false" ma:fieldId="{5cf76f15-5ced-4ddc-b409-7134ff3c332f}" ma:taxonomyMulti="true" ma:sspId="40495dbf-c790-4553-8539-553daef3872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37be5a6-7274-453e-8949-6b4e16d48edb" elementFormDefault="qualified">
    <xsd:import namespace="http://schemas.microsoft.com/office/2006/documentManagement/types"/>
    <xsd:import namespace="http://schemas.microsoft.com/office/infopath/2007/PartnerControls"/>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element name="TaxCatchAll" ma:index="25" nillable="true" ma:displayName="Taxonomy Catch All Column" ma:hidden="true" ma:list="{c70e338a-b464-4364-b728-cfb8235a3404}" ma:internalName="TaxCatchAll" ma:showField="CatchAllData" ma:web="737be5a6-7274-453e-8949-6b4e16d48ed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160B38E-6322-4AF9-838F-BDBC02A613A3}">
  <ds:schemaRefs>
    <ds:schemaRef ds:uri="http://schemas.microsoft.com/office/2006/documentManagement/types"/>
    <ds:schemaRef ds:uri="a8e6cb0d-bb3d-449c-b702-58119383dc93"/>
    <ds:schemaRef ds:uri="http://purl.org/dc/dcmitype/"/>
    <ds:schemaRef ds:uri="http://schemas.microsoft.com/sharepoint/v3"/>
    <ds:schemaRef ds:uri="http://schemas.microsoft.com/office/infopath/2007/PartnerControls"/>
    <ds:schemaRef ds:uri="http://purl.org/dc/terms/"/>
    <ds:schemaRef ds:uri="http://schemas.openxmlformats.org/package/2006/metadata/core-properties"/>
    <ds:schemaRef ds:uri="http://schemas.microsoft.com/office/2006/metadata/properties"/>
    <ds:schemaRef ds:uri="http://www.w3.org/XML/1998/namespace"/>
    <ds:schemaRef ds:uri="737be5a6-7274-453e-8949-6b4e16d48edb"/>
    <ds:schemaRef ds:uri="http://purl.org/dc/elements/1.1/"/>
  </ds:schemaRefs>
</ds:datastoreItem>
</file>

<file path=customXml/itemProps2.xml><?xml version="1.0" encoding="utf-8"?>
<ds:datastoreItem xmlns:ds="http://schemas.openxmlformats.org/officeDocument/2006/customXml" ds:itemID="{54AD6E76-45E9-4BFD-BB1F-87E1A8AB8DC5}">
  <ds:schemaRefs>
    <ds:schemaRef ds:uri="http://schemas.microsoft.com/sharepoint/v3/contenttype/forms"/>
  </ds:schemaRefs>
</ds:datastoreItem>
</file>

<file path=customXml/itemProps3.xml><?xml version="1.0" encoding="utf-8"?>
<ds:datastoreItem xmlns:ds="http://schemas.openxmlformats.org/officeDocument/2006/customXml" ds:itemID="{31408D29-6140-4C0C-BE16-EBA3E6E138F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8e6cb0d-bb3d-449c-b702-58119383dc93"/>
    <ds:schemaRef ds:uri="737be5a6-7274-453e-8949-6b4e16d48ed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2527</vt:i4>
      </vt:variant>
    </vt:vector>
  </HeadingPairs>
  <TitlesOfParts>
    <vt:vector size="2533" baseType="lpstr">
      <vt:lpstr>付替お申込書</vt:lpstr>
      <vt:lpstr>変更別紙</vt:lpstr>
      <vt:lpstr>【記載例】付替お申込書</vt:lpstr>
      <vt:lpstr>【記載例】変更別紙</vt:lpstr>
      <vt:lpstr>table（隠す）変更</vt:lpstr>
      <vt:lpstr>選択肢（隠す）変更</vt:lpstr>
      <vt:lpstr>accelikkatsu001</vt:lpstr>
      <vt:lpstr>accelikkatsu002</vt:lpstr>
      <vt:lpstr>accelikkatsu003</vt:lpstr>
      <vt:lpstr>accelikkatsu004</vt:lpstr>
      <vt:lpstr>accelikkatsu005</vt:lpstr>
      <vt:lpstr>accelikkatsu006</vt:lpstr>
      <vt:lpstr>accelikkatsu007</vt:lpstr>
      <vt:lpstr>accelikkatsu008</vt:lpstr>
      <vt:lpstr>accelikkatsu009</vt:lpstr>
      <vt:lpstr>accelikkatsu010</vt:lpstr>
      <vt:lpstr>accelikkatsu011</vt:lpstr>
      <vt:lpstr>accelikkatsu012</vt:lpstr>
      <vt:lpstr>accelikkatsu013</vt:lpstr>
      <vt:lpstr>accelikkatsu014</vt:lpstr>
      <vt:lpstr>accelikkatsu015</vt:lpstr>
      <vt:lpstr>accelikkatsu016</vt:lpstr>
      <vt:lpstr>accelikkatsu017</vt:lpstr>
      <vt:lpstr>accelikkatsu018</vt:lpstr>
      <vt:lpstr>accelikkatsu019</vt:lpstr>
      <vt:lpstr>accelikkatsu020</vt:lpstr>
      <vt:lpstr>accelikkatsu021</vt:lpstr>
      <vt:lpstr>accelikkatsu022</vt:lpstr>
      <vt:lpstr>accelikkatsu023</vt:lpstr>
      <vt:lpstr>accelikkatsu024</vt:lpstr>
      <vt:lpstr>accelikkatsu025</vt:lpstr>
      <vt:lpstr>accelikkatsu026</vt:lpstr>
      <vt:lpstr>accelikkatsu027</vt:lpstr>
      <vt:lpstr>accelikkatsu028</vt:lpstr>
      <vt:lpstr>accelikkatsu029</vt:lpstr>
      <vt:lpstr>accelikkatsu030</vt:lpstr>
      <vt:lpstr>accelikkatsu031</vt:lpstr>
      <vt:lpstr>accelikkatsu032</vt:lpstr>
      <vt:lpstr>accelikkatsu033</vt:lpstr>
      <vt:lpstr>accelikkatsu034</vt:lpstr>
      <vt:lpstr>accelikkatsu035</vt:lpstr>
      <vt:lpstr>accelikkatsu036</vt:lpstr>
      <vt:lpstr>accelikkatsu037</vt:lpstr>
      <vt:lpstr>accelikkatsu038</vt:lpstr>
      <vt:lpstr>accelikkatsu039</vt:lpstr>
      <vt:lpstr>accelikkatsu040</vt:lpstr>
      <vt:lpstr>accelikkatsu041</vt:lpstr>
      <vt:lpstr>accelikkatsu042</vt:lpstr>
      <vt:lpstr>accelikkatsu043</vt:lpstr>
      <vt:lpstr>accelikkatsu044</vt:lpstr>
      <vt:lpstr>accelikkatsu045</vt:lpstr>
      <vt:lpstr>accelikkatsu046</vt:lpstr>
      <vt:lpstr>accelikkatsu047</vt:lpstr>
      <vt:lpstr>accelikkatsu048</vt:lpstr>
      <vt:lpstr>accelikkatsu049</vt:lpstr>
      <vt:lpstr>accelikkatsu050</vt:lpstr>
      <vt:lpstr>accelikkatsu051</vt:lpstr>
      <vt:lpstr>accelikkatsu052</vt:lpstr>
      <vt:lpstr>accelikkatsu053</vt:lpstr>
      <vt:lpstr>accelikkatsu054</vt:lpstr>
      <vt:lpstr>accelikkatsu055</vt:lpstr>
      <vt:lpstr>accelikkatsu056</vt:lpstr>
      <vt:lpstr>accelikkatsu057</vt:lpstr>
      <vt:lpstr>accelikkatsu058</vt:lpstr>
      <vt:lpstr>accelikkatsu059</vt:lpstr>
      <vt:lpstr>accelikkatsu060</vt:lpstr>
      <vt:lpstr>accelikkatsu061</vt:lpstr>
      <vt:lpstr>accelikkatsu062</vt:lpstr>
      <vt:lpstr>accelikkatsu063</vt:lpstr>
      <vt:lpstr>accelikkatsu064</vt:lpstr>
      <vt:lpstr>accelikkatsu065</vt:lpstr>
      <vt:lpstr>accelikkatsu066</vt:lpstr>
      <vt:lpstr>accelikkatsu067</vt:lpstr>
      <vt:lpstr>accelikkatsu068</vt:lpstr>
      <vt:lpstr>accelikkatsu069</vt:lpstr>
      <vt:lpstr>accelikkatsu070</vt:lpstr>
      <vt:lpstr>accelikkatsu071</vt:lpstr>
      <vt:lpstr>accelikkatsu072</vt:lpstr>
      <vt:lpstr>accelikkatsu073</vt:lpstr>
      <vt:lpstr>accelikkatsu074</vt:lpstr>
      <vt:lpstr>accelikkatsu075</vt:lpstr>
      <vt:lpstr>accelikkatsu076</vt:lpstr>
      <vt:lpstr>accelikkatsu077</vt:lpstr>
      <vt:lpstr>accelikkatsu078</vt:lpstr>
      <vt:lpstr>accelikkatsu079</vt:lpstr>
      <vt:lpstr>accelikkatsu080</vt:lpstr>
      <vt:lpstr>accelikkatsu081</vt:lpstr>
      <vt:lpstr>accelikkatsu082</vt:lpstr>
      <vt:lpstr>accelikkatsu083</vt:lpstr>
      <vt:lpstr>accelikkatsu084</vt:lpstr>
      <vt:lpstr>accelikkatsu085</vt:lpstr>
      <vt:lpstr>accelikkatsu086</vt:lpstr>
      <vt:lpstr>accelikkatsu087</vt:lpstr>
      <vt:lpstr>accelikkatsu088</vt:lpstr>
      <vt:lpstr>accelikkatsu089</vt:lpstr>
      <vt:lpstr>accelikkatsu090</vt:lpstr>
      <vt:lpstr>accelikkatsu091</vt:lpstr>
      <vt:lpstr>accelikkatsu092</vt:lpstr>
      <vt:lpstr>accelikkatsu093</vt:lpstr>
      <vt:lpstr>accelikkatsu094</vt:lpstr>
      <vt:lpstr>accelikkatsu095</vt:lpstr>
      <vt:lpstr>accelikkatsu096</vt:lpstr>
      <vt:lpstr>accelikkatsu097</vt:lpstr>
      <vt:lpstr>accelikkatsu098</vt:lpstr>
      <vt:lpstr>accelikkatsu099</vt:lpstr>
      <vt:lpstr>accelikkatsu100</vt:lpstr>
      <vt:lpstr>accelikkatsu101</vt:lpstr>
      <vt:lpstr>accelikkatsu102</vt:lpstr>
      <vt:lpstr>accelikkatsu103</vt:lpstr>
      <vt:lpstr>accelikkatsu104</vt:lpstr>
      <vt:lpstr>accelikkatsu105</vt:lpstr>
      <vt:lpstr>accelikkatsu106</vt:lpstr>
      <vt:lpstr>accelikkatsu107</vt:lpstr>
      <vt:lpstr>accelikkatsu108</vt:lpstr>
      <vt:lpstr>accelikkatsu109</vt:lpstr>
      <vt:lpstr>accelikkatsu110</vt:lpstr>
      <vt:lpstr>accelikkatsu111</vt:lpstr>
      <vt:lpstr>accelikkatsu112</vt:lpstr>
      <vt:lpstr>accelikkatsu113</vt:lpstr>
      <vt:lpstr>accelikkatsu114</vt:lpstr>
      <vt:lpstr>accelikkatsu115</vt:lpstr>
      <vt:lpstr>accelikkatsu116</vt:lpstr>
      <vt:lpstr>accelikkatsu117</vt:lpstr>
      <vt:lpstr>accelikkatsu118</vt:lpstr>
      <vt:lpstr>accelikkatsu119</vt:lpstr>
      <vt:lpstr>accelikkatsu120</vt:lpstr>
      <vt:lpstr>accelikkatsu121</vt:lpstr>
      <vt:lpstr>accelikkatsu122</vt:lpstr>
      <vt:lpstr>accelikkatsu123</vt:lpstr>
      <vt:lpstr>accelikkatsu124</vt:lpstr>
      <vt:lpstr>accelikkatsu125</vt:lpstr>
      <vt:lpstr>accelikkatsu126</vt:lpstr>
      <vt:lpstr>accelikkatsu127</vt:lpstr>
      <vt:lpstr>accelikkatsu128</vt:lpstr>
      <vt:lpstr>accelikkatsu129</vt:lpstr>
      <vt:lpstr>accelikkatsu130</vt:lpstr>
      <vt:lpstr>accelikkatsu131</vt:lpstr>
      <vt:lpstr>accelikkatsu132</vt:lpstr>
      <vt:lpstr>accelikkatsu133</vt:lpstr>
      <vt:lpstr>accelikkatsu134</vt:lpstr>
      <vt:lpstr>accelikkatsu135</vt:lpstr>
      <vt:lpstr>accelikkatsu136</vt:lpstr>
      <vt:lpstr>accelikkatsu137</vt:lpstr>
      <vt:lpstr>accelikkatsu138</vt:lpstr>
      <vt:lpstr>accelikkatsu139</vt:lpstr>
      <vt:lpstr>accelikkatsu140</vt:lpstr>
      <vt:lpstr>accelikkatsu141</vt:lpstr>
      <vt:lpstr>accelikkatsu142</vt:lpstr>
      <vt:lpstr>accelikkatsu143</vt:lpstr>
      <vt:lpstr>accelikkatsu144</vt:lpstr>
      <vt:lpstr>accelikkatsu145</vt:lpstr>
      <vt:lpstr>accelikkatsu146</vt:lpstr>
      <vt:lpstr>accelikkatsu147</vt:lpstr>
      <vt:lpstr>accelikkatsu148</vt:lpstr>
      <vt:lpstr>accelikkatsu149</vt:lpstr>
      <vt:lpstr>accelikkatsu150</vt:lpstr>
      <vt:lpstr>accelikkatsu151</vt:lpstr>
      <vt:lpstr>accelikkatsu152</vt:lpstr>
      <vt:lpstr>accelikkatsu153</vt:lpstr>
      <vt:lpstr>accelikkatsu154</vt:lpstr>
      <vt:lpstr>accelikkatsu155</vt:lpstr>
      <vt:lpstr>accelikkatsu156</vt:lpstr>
      <vt:lpstr>accelikkatsu157</vt:lpstr>
      <vt:lpstr>accelikkatsu158</vt:lpstr>
      <vt:lpstr>accelikkatsu159</vt:lpstr>
      <vt:lpstr>accelikkatsu160</vt:lpstr>
      <vt:lpstr>accelikkatsu161</vt:lpstr>
      <vt:lpstr>accelikkatsu162</vt:lpstr>
      <vt:lpstr>accelikkatsu163</vt:lpstr>
      <vt:lpstr>accelikkatsu164</vt:lpstr>
      <vt:lpstr>accelikkatsu165</vt:lpstr>
      <vt:lpstr>accelikkatsu166</vt:lpstr>
      <vt:lpstr>accelikkatsu167</vt:lpstr>
      <vt:lpstr>accelikkatsu168</vt:lpstr>
      <vt:lpstr>accelikkatsu169</vt:lpstr>
      <vt:lpstr>accelikkatsu170</vt:lpstr>
      <vt:lpstr>accelikkatsu171</vt:lpstr>
      <vt:lpstr>accelikkatsu172</vt:lpstr>
      <vt:lpstr>accelikkatsu173</vt:lpstr>
      <vt:lpstr>accelikkatsu174</vt:lpstr>
      <vt:lpstr>accelikkatsu175</vt:lpstr>
      <vt:lpstr>accelikkatsu176</vt:lpstr>
      <vt:lpstr>accelikkatsu177</vt:lpstr>
      <vt:lpstr>accelikkatsu178</vt:lpstr>
      <vt:lpstr>accelikkatsu179</vt:lpstr>
      <vt:lpstr>accelikkatsu180</vt:lpstr>
      <vt:lpstr>accelikkatsu181</vt:lpstr>
      <vt:lpstr>accelikkatsu182</vt:lpstr>
      <vt:lpstr>accelikkatsu183</vt:lpstr>
      <vt:lpstr>accelikkatsu184</vt:lpstr>
      <vt:lpstr>accelikkatsu185</vt:lpstr>
      <vt:lpstr>accelikkatsu186</vt:lpstr>
      <vt:lpstr>accelikkatsu187</vt:lpstr>
      <vt:lpstr>accelikkatsu188</vt:lpstr>
      <vt:lpstr>accelikkatsu189</vt:lpstr>
      <vt:lpstr>accelikkatsu190</vt:lpstr>
      <vt:lpstr>accelikkatsu191</vt:lpstr>
      <vt:lpstr>accelikkatsu192</vt:lpstr>
      <vt:lpstr>accelikkatsu193</vt:lpstr>
      <vt:lpstr>accelikkatsu194</vt:lpstr>
      <vt:lpstr>accelikkatsu195</vt:lpstr>
      <vt:lpstr>accelikkatsu196</vt:lpstr>
      <vt:lpstr>accelikkatsu197</vt:lpstr>
      <vt:lpstr>accelikkatsu198</vt:lpstr>
      <vt:lpstr>accelikkatsu199</vt:lpstr>
      <vt:lpstr>accelikkatsu200</vt:lpstr>
      <vt:lpstr>accelikkatsu201</vt:lpstr>
      <vt:lpstr>accelikkatsu202</vt:lpstr>
      <vt:lpstr>accelikkatsu203</vt:lpstr>
      <vt:lpstr>accelikkatsu204</vt:lpstr>
      <vt:lpstr>accelikkatsu205</vt:lpstr>
      <vt:lpstr>accelikkatsu206</vt:lpstr>
      <vt:lpstr>accelikkatsu207</vt:lpstr>
      <vt:lpstr>accelikkatsu208</vt:lpstr>
      <vt:lpstr>accelikkatsu209</vt:lpstr>
      <vt:lpstr>accelikkatsu210</vt:lpstr>
      <vt:lpstr>accelikkatsu211</vt:lpstr>
      <vt:lpstr>accelikkatsu212</vt:lpstr>
      <vt:lpstr>accelikkatsu213</vt:lpstr>
      <vt:lpstr>accelikkatsu214</vt:lpstr>
      <vt:lpstr>accelikkatsu215</vt:lpstr>
      <vt:lpstr>accelikkatsu216</vt:lpstr>
      <vt:lpstr>accelikkatsu217</vt:lpstr>
      <vt:lpstr>accelikkatsu218</vt:lpstr>
      <vt:lpstr>accelikkatsu219</vt:lpstr>
      <vt:lpstr>accelikkatsu220</vt:lpstr>
      <vt:lpstr>accelikkatsu221</vt:lpstr>
      <vt:lpstr>accelikkatsu222</vt:lpstr>
      <vt:lpstr>accelikkatsu223</vt:lpstr>
      <vt:lpstr>accelikkatsu224</vt:lpstr>
      <vt:lpstr>accelikkatsu225</vt:lpstr>
      <vt:lpstr>accelikkatsu226</vt:lpstr>
      <vt:lpstr>accelikkatsu227</vt:lpstr>
      <vt:lpstr>accelikkatsu228</vt:lpstr>
      <vt:lpstr>accelikkatsu229</vt:lpstr>
      <vt:lpstr>accelikkatsu230</vt:lpstr>
      <vt:lpstr>accelikkatsu231</vt:lpstr>
      <vt:lpstr>accelikkatsu232</vt:lpstr>
      <vt:lpstr>accelikkatsu233</vt:lpstr>
      <vt:lpstr>accelikkatsu234</vt:lpstr>
      <vt:lpstr>accelikkatsu235</vt:lpstr>
      <vt:lpstr>accelikkatsu236</vt:lpstr>
      <vt:lpstr>accelikkatsu237</vt:lpstr>
      <vt:lpstr>accelikkatsu238</vt:lpstr>
      <vt:lpstr>accelikkatsu239</vt:lpstr>
      <vt:lpstr>accelikkatsu240</vt:lpstr>
      <vt:lpstr>accelikkatsu241</vt:lpstr>
      <vt:lpstr>accelikkatsu242</vt:lpstr>
      <vt:lpstr>accelikkatsu243</vt:lpstr>
      <vt:lpstr>accelikkatsu244</vt:lpstr>
      <vt:lpstr>accelikkatsu245</vt:lpstr>
      <vt:lpstr>accelikkatsu246</vt:lpstr>
      <vt:lpstr>accelikkatsu247</vt:lpstr>
      <vt:lpstr>accelikkatsu248</vt:lpstr>
      <vt:lpstr>accelikkatsu249</vt:lpstr>
      <vt:lpstr>accelikkatsu250</vt:lpstr>
      <vt:lpstr>applicationArrivalDate</vt:lpstr>
      <vt:lpstr>belugabun001</vt:lpstr>
      <vt:lpstr>belugabun002</vt:lpstr>
      <vt:lpstr>belugabun003</vt:lpstr>
      <vt:lpstr>belugabun004</vt:lpstr>
      <vt:lpstr>belugabun005</vt:lpstr>
      <vt:lpstr>belugabun006</vt:lpstr>
      <vt:lpstr>belugabun007</vt:lpstr>
      <vt:lpstr>belugabun008</vt:lpstr>
      <vt:lpstr>belugabun009</vt:lpstr>
      <vt:lpstr>belugabun010</vt:lpstr>
      <vt:lpstr>belugabun011</vt:lpstr>
      <vt:lpstr>belugabun012</vt:lpstr>
      <vt:lpstr>belugabun013</vt:lpstr>
      <vt:lpstr>belugabun014</vt:lpstr>
      <vt:lpstr>belugabun015</vt:lpstr>
      <vt:lpstr>belugabun016</vt:lpstr>
      <vt:lpstr>belugabun017</vt:lpstr>
      <vt:lpstr>belugabun018</vt:lpstr>
      <vt:lpstr>belugabun019</vt:lpstr>
      <vt:lpstr>belugabun020</vt:lpstr>
      <vt:lpstr>belugabun021</vt:lpstr>
      <vt:lpstr>belugabun022</vt:lpstr>
      <vt:lpstr>belugabun023</vt:lpstr>
      <vt:lpstr>belugabun024</vt:lpstr>
      <vt:lpstr>belugabun025</vt:lpstr>
      <vt:lpstr>belugabun026</vt:lpstr>
      <vt:lpstr>belugabun027</vt:lpstr>
      <vt:lpstr>belugabun028</vt:lpstr>
      <vt:lpstr>belugabun029</vt:lpstr>
      <vt:lpstr>belugabun030</vt:lpstr>
      <vt:lpstr>belugabun031</vt:lpstr>
      <vt:lpstr>belugabun032</vt:lpstr>
      <vt:lpstr>belugabun033</vt:lpstr>
      <vt:lpstr>belugabun034</vt:lpstr>
      <vt:lpstr>belugabun035</vt:lpstr>
      <vt:lpstr>belugabun036</vt:lpstr>
      <vt:lpstr>belugabun037</vt:lpstr>
      <vt:lpstr>belugabun038</vt:lpstr>
      <vt:lpstr>belugabun039</vt:lpstr>
      <vt:lpstr>belugabun040</vt:lpstr>
      <vt:lpstr>belugabun041</vt:lpstr>
      <vt:lpstr>belugabun042</vt:lpstr>
      <vt:lpstr>belugabun043</vt:lpstr>
      <vt:lpstr>belugabun044</vt:lpstr>
      <vt:lpstr>belugabun045</vt:lpstr>
      <vt:lpstr>belugabun046</vt:lpstr>
      <vt:lpstr>belugabun047</vt:lpstr>
      <vt:lpstr>belugabun048</vt:lpstr>
      <vt:lpstr>belugabun049</vt:lpstr>
      <vt:lpstr>belugabun050</vt:lpstr>
      <vt:lpstr>belugabun051</vt:lpstr>
      <vt:lpstr>belugabun052</vt:lpstr>
      <vt:lpstr>belugabun053</vt:lpstr>
      <vt:lpstr>belugabun054</vt:lpstr>
      <vt:lpstr>belugabun055</vt:lpstr>
      <vt:lpstr>belugabun056</vt:lpstr>
      <vt:lpstr>belugabun057</vt:lpstr>
      <vt:lpstr>belugabun058</vt:lpstr>
      <vt:lpstr>belugabun059</vt:lpstr>
      <vt:lpstr>belugabun060</vt:lpstr>
      <vt:lpstr>belugabun061</vt:lpstr>
      <vt:lpstr>belugabun062</vt:lpstr>
      <vt:lpstr>belugabun063</vt:lpstr>
      <vt:lpstr>belugabun064</vt:lpstr>
      <vt:lpstr>belugabun065</vt:lpstr>
      <vt:lpstr>belugabun066</vt:lpstr>
      <vt:lpstr>belugabun067</vt:lpstr>
      <vt:lpstr>belugabun068</vt:lpstr>
      <vt:lpstr>belugabun069</vt:lpstr>
      <vt:lpstr>belugabun070</vt:lpstr>
      <vt:lpstr>belugabun071</vt:lpstr>
      <vt:lpstr>belugabun072</vt:lpstr>
      <vt:lpstr>belugabun073</vt:lpstr>
      <vt:lpstr>belugabun074</vt:lpstr>
      <vt:lpstr>belugabun075</vt:lpstr>
      <vt:lpstr>belugabun076</vt:lpstr>
      <vt:lpstr>belugabun077</vt:lpstr>
      <vt:lpstr>belugabun078</vt:lpstr>
      <vt:lpstr>belugabun079</vt:lpstr>
      <vt:lpstr>belugabun080</vt:lpstr>
      <vt:lpstr>belugabun081</vt:lpstr>
      <vt:lpstr>belugabun082</vt:lpstr>
      <vt:lpstr>belugabun083</vt:lpstr>
      <vt:lpstr>belugabun084</vt:lpstr>
      <vt:lpstr>belugabun085</vt:lpstr>
      <vt:lpstr>belugabun086</vt:lpstr>
      <vt:lpstr>belugabun087</vt:lpstr>
      <vt:lpstr>belugabun088</vt:lpstr>
      <vt:lpstr>belugabun089</vt:lpstr>
      <vt:lpstr>belugabun090</vt:lpstr>
      <vt:lpstr>belugabun091</vt:lpstr>
      <vt:lpstr>belugabun092</vt:lpstr>
      <vt:lpstr>belugabun093</vt:lpstr>
      <vt:lpstr>belugabun094</vt:lpstr>
      <vt:lpstr>belugabun095</vt:lpstr>
      <vt:lpstr>belugabun096</vt:lpstr>
      <vt:lpstr>belugabun097</vt:lpstr>
      <vt:lpstr>belugabun098</vt:lpstr>
      <vt:lpstr>belugabun099</vt:lpstr>
      <vt:lpstr>belugabun100</vt:lpstr>
      <vt:lpstr>belugabun101</vt:lpstr>
      <vt:lpstr>belugabun102</vt:lpstr>
      <vt:lpstr>belugabun103</vt:lpstr>
      <vt:lpstr>belugabun104</vt:lpstr>
      <vt:lpstr>belugabun105</vt:lpstr>
      <vt:lpstr>belugabun106</vt:lpstr>
      <vt:lpstr>belugabun107</vt:lpstr>
      <vt:lpstr>belugabun108</vt:lpstr>
      <vt:lpstr>belugabun109</vt:lpstr>
      <vt:lpstr>belugabun110</vt:lpstr>
      <vt:lpstr>belugabun111</vt:lpstr>
      <vt:lpstr>belugabun112</vt:lpstr>
      <vt:lpstr>belugabun113</vt:lpstr>
      <vt:lpstr>belugabun114</vt:lpstr>
      <vt:lpstr>belugabun115</vt:lpstr>
      <vt:lpstr>belugabun116</vt:lpstr>
      <vt:lpstr>belugabun117</vt:lpstr>
      <vt:lpstr>belugabun118</vt:lpstr>
      <vt:lpstr>belugabun119</vt:lpstr>
      <vt:lpstr>belugabun120</vt:lpstr>
      <vt:lpstr>belugabun121</vt:lpstr>
      <vt:lpstr>belugabun122</vt:lpstr>
      <vt:lpstr>belugabun123</vt:lpstr>
      <vt:lpstr>belugabun124</vt:lpstr>
      <vt:lpstr>belugabun125</vt:lpstr>
      <vt:lpstr>belugabun126</vt:lpstr>
      <vt:lpstr>belugabun127</vt:lpstr>
      <vt:lpstr>belugabun128</vt:lpstr>
      <vt:lpstr>belugabun129</vt:lpstr>
      <vt:lpstr>belugabun130</vt:lpstr>
      <vt:lpstr>belugabun131</vt:lpstr>
      <vt:lpstr>belugabun132</vt:lpstr>
      <vt:lpstr>belugabun133</vt:lpstr>
      <vt:lpstr>belugabun134</vt:lpstr>
      <vt:lpstr>belugabun135</vt:lpstr>
      <vt:lpstr>belugabun136</vt:lpstr>
      <vt:lpstr>belugabun137</vt:lpstr>
      <vt:lpstr>belugabun138</vt:lpstr>
      <vt:lpstr>belugabun139</vt:lpstr>
      <vt:lpstr>belugabun140</vt:lpstr>
      <vt:lpstr>belugabun141</vt:lpstr>
      <vt:lpstr>belugabun142</vt:lpstr>
      <vt:lpstr>belugabun143</vt:lpstr>
      <vt:lpstr>belugabun144</vt:lpstr>
      <vt:lpstr>belugabun145</vt:lpstr>
      <vt:lpstr>belugabun146</vt:lpstr>
      <vt:lpstr>belugabun147</vt:lpstr>
      <vt:lpstr>belugabun148</vt:lpstr>
      <vt:lpstr>belugabun149</vt:lpstr>
      <vt:lpstr>belugabun150</vt:lpstr>
      <vt:lpstr>belugabun151</vt:lpstr>
      <vt:lpstr>belugabun152</vt:lpstr>
      <vt:lpstr>belugabun153</vt:lpstr>
      <vt:lpstr>belugabun154</vt:lpstr>
      <vt:lpstr>belugabun155</vt:lpstr>
      <vt:lpstr>belugabun156</vt:lpstr>
      <vt:lpstr>belugabun157</vt:lpstr>
      <vt:lpstr>belugabun158</vt:lpstr>
      <vt:lpstr>belugabun159</vt:lpstr>
      <vt:lpstr>belugabun160</vt:lpstr>
      <vt:lpstr>belugabun161</vt:lpstr>
      <vt:lpstr>belugabun162</vt:lpstr>
      <vt:lpstr>belugabun163</vt:lpstr>
      <vt:lpstr>belugabun164</vt:lpstr>
      <vt:lpstr>belugabun165</vt:lpstr>
      <vt:lpstr>belugabun166</vt:lpstr>
      <vt:lpstr>belugabun167</vt:lpstr>
      <vt:lpstr>belugabun168</vt:lpstr>
      <vt:lpstr>belugabun169</vt:lpstr>
      <vt:lpstr>belugabun170</vt:lpstr>
      <vt:lpstr>belugabun171</vt:lpstr>
      <vt:lpstr>belugabun172</vt:lpstr>
      <vt:lpstr>belugabun173</vt:lpstr>
      <vt:lpstr>belugabun174</vt:lpstr>
      <vt:lpstr>belugabun175</vt:lpstr>
      <vt:lpstr>belugabun176</vt:lpstr>
      <vt:lpstr>belugabun177</vt:lpstr>
      <vt:lpstr>belugabun178</vt:lpstr>
      <vt:lpstr>belugabun179</vt:lpstr>
      <vt:lpstr>belugabun180</vt:lpstr>
      <vt:lpstr>belugabun181</vt:lpstr>
      <vt:lpstr>belugabun182</vt:lpstr>
      <vt:lpstr>belugabun183</vt:lpstr>
      <vt:lpstr>belugabun184</vt:lpstr>
      <vt:lpstr>belugabun185</vt:lpstr>
      <vt:lpstr>belugabun186</vt:lpstr>
      <vt:lpstr>belugabun187</vt:lpstr>
      <vt:lpstr>belugabun188</vt:lpstr>
      <vt:lpstr>belugabun189</vt:lpstr>
      <vt:lpstr>belugabun190</vt:lpstr>
      <vt:lpstr>belugabun191</vt:lpstr>
      <vt:lpstr>belugabun192</vt:lpstr>
      <vt:lpstr>belugabun193</vt:lpstr>
      <vt:lpstr>belugabun194</vt:lpstr>
      <vt:lpstr>belugabun195</vt:lpstr>
      <vt:lpstr>belugabun196</vt:lpstr>
      <vt:lpstr>belugabun197</vt:lpstr>
      <vt:lpstr>belugabun198</vt:lpstr>
      <vt:lpstr>belugabun199</vt:lpstr>
      <vt:lpstr>belugabun200</vt:lpstr>
      <vt:lpstr>belugabun201</vt:lpstr>
      <vt:lpstr>belugabun202</vt:lpstr>
      <vt:lpstr>belugabun203</vt:lpstr>
      <vt:lpstr>belugabun204</vt:lpstr>
      <vt:lpstr>belugabun205</vt:lpstr>
      <vt:lpstr>belugabun206</vt:lpstr>
      <vt:lpstr>belugabun207</vt:lpstr>
      <vt:lpstr>belugabun208</vt:lpstr>
      <vt:lpstr>belugabun209</vt:lpstr>
      <vt:lpstr>belugabun210</vt:lpstr>
      <vt:lpstr>belugabun211</vt:lpstr>
      <vt:lpstr>belugabun212</vt:lpstr>
      <vt:lpstr>belugabun213</vt:lpstr>
      <vt:lpstr>belugabun214</vt:lpstr>
      <vt:lpstr>belugabun215</vt:lpstr>
      <vt:lpstr>belugabun216</vt:lpstr>
      <vt:lpstr>belugabun217</vt:lpstr>
      <vt:lpstr>belugabun218</vt:lpstr>
      <vt:lpstr>belugabun219</vt:lpstr>
      <vt:lpstr>belugabun220</vt:lpstr>
      <vt:lpstr>belugabun221</vt:lpstr>
      <vt:lpstr>belugabun222</vt:lpstr>
      <vt:lpstr>belugabun223</vt:lpstr>
      <vt:lpstr>belugabun224</vt:lpstr>
      <vt:lpstr>belugabun225</vt:lpstr>
      <vt:lpstr>belugabun226</vt:lpstr>
      <vt:lpstr>belugabun227</vt:lpstr>
      <vt:lpstr>belugabun228</vt:lpstr>
      <vt:lpstr>belugabun229</vt:lpstr>
      <vt:lpstr>belugabun230</vt:lpstr>
      <vt:lpstr>belugabun231</vt:lpstr>
      <vt:lpstr>belugabun232</vt:lpstr>
      <vt:lpstr>belugabun233</vt:lpstr>
      <vt:lpstr>belugabun234</vt:lpstr>
      <vt:lpstr>belugabun235</vt:lpstr>
      <vt:lpstr>belugabun236</vt:lpstr>
      <vt:lpstr>belugabun237</vt:lpstr>
      <vt:lpstr>belugabun238</vt:lpstr>
      <vt:lpstr>belugabun239</vt:lpstr>
      <vt:lpstr>belugabun240</vt:lpstr>
      <vt:lpstr>belugabun241</vt:lpstr>
      <vt:lpstr>belugabun242</vt:lpstr>
      <vt:lpstr>belugabun243</vt:lpstr>
      <vt:lpstr>belugabun244</vt:lpstr>
      <vt:lpstr>belugabun245</vt:lpstr>
      <vt:lpstr>belugabun246</vt:lpstr>
      <vt:lpstr>belugabun247</vt:lpstr>
      <vt:lpstr>belugabun248</vt:lpstr>
      <vt:lpstr>belugabun249</vt:lpstr>
      <vt:lpstr>belugabun250</vt:lpstr>
      <vt:lpstr>belugabunyn001</vt:lpstr>
      <vt:lpstr>belugabunyn002</vt:lpstr>
      <vt:lpstr>belugabunyn003</vt:lpstr>
      <vt:lpstr>belugabunyn004</vt:lpstr>
      <vt:lpstr>belugabunyn005</vt:lpstr>
      <vt:lpstr>belugabunyn006</vt:lpstr>
      <vt:lpstr>belugabunyn007</vt:lpstr>
      <vt:lpstr>belugabunyn008</vt:lpstr>
      <vt:lpstr>belugabunyn009</vt:lpstr>
      <vt:lpstr>belugabunyn010</vt:lpstr>
      <vt:lpstr>belugabunyn011</vt:lpstr>
      <vt:lpstr>belugabunyn012</vt:lpstr>
      <vt:lpstr>belugabunyn013</vt:lpstr>
      <vt:lpstr>belugabunyn014</vt:lpstr>
      <vt:lpstr>belugabunyn015</vt:lpstr>
      <vt:lpstr>belugabunyn016</vt:lpstr>
      <vt:lpstr>belugabunyn017</vt:lpstr>
      <vt:lpstr>belugabunyn018</vt:lpstr>
      <vt:lpstr>belugabunyn019</vt:lpstr>
      <vt:lpstr>belugabunyn020</vt:lpstr>
      <vt:lpstr>belugabunyn021</vt:lpstr>
      <vt:lpstr>belugabunyn022</vt:lpstr>
      <vt:lpstr>belugabunyn023</vt:lpstr>
      <vt:lpstr>belugabunyn024</vt:lpstr>
      <vt:lpstr>belugabunyn025</vt:lpstr>
      <vt:lpstr>belugabunyn026</vt:lpstr>
      <vt:lpstr>belugabunyn027</vt:lpstr>
      <vt:lpstr>belugabunyn028</vt:lpstr>
      <vt:lpstr>belugabunyn029</vt:lpstr>
      <vt:lpstr>belugabunyn030</vt:lpstr>
      <vt:lpstr>belugabunyn031</vt:lpstr>
      <vt:lpstr>belugabunyn032</vt:lpstr>
      <vt:lpstr>belugabunyn033</vt:lpstr>
      <vt:lpstr>belugabunyn034</vt:lpstr>
      <vt:lpstr>belugabunyn035</vt:lpstr>
      <vt:lpstr>belugabunyn036</vt:lpstr>
      <vt:lpstr>belugabunyn037</vt:lpstr>
      <vt:lpstr>belugabunyn038</vt:lpstr>
      <vt:lpstr>belugabunyn039</vt:lpstr>
      <vt:lpstr>belugabunyn040</vt:lpstr>
      <vt:lpstr>belugabunyn041</vt:lpstr>
      <vt:lpstr>belugabunyn042</vt:lpstr>
      <vt:lpstr>belugabunyn043</vt:lpstr>
      <vt:lpstr>belugabunyn044</vt:lpstr>
      <vt:lpstr>belugabunyn045</vt:lpstr>
      <vt:lpstr>belugabunyn046</vt:lpstr>
      <vt:lpstr>belugabunyn047</vt:lpstr>
      <vt:lpstr>belugabunyn048</vt:lpstr>
      <vt:lpstr>belugabunyn049</vt:lpstr>
      <vt:lpstr>belugabunyn050</vt:lpstr>
      <vt:lpstr>belugabunyn051</vt:lpstr>
      <vt:lpstr>belugabunyn052</vt:lpstr>
      <vt:lpstr>belugabunyn053</vt:lpstr>
      <vt:lpstr>belugabunyn054</vt:lpstr>
      <vt:lpstr>belugabunyn055</vt:lpstr>
      <vt:lpstr>belugabunyn056</vt:lpstr>
      <vt:lpstr>belugabunyn057</vt:lpstr>
      <vt:lpstr>belugabunyn058</vt:lpstr>
      <vt:lpstr>belugabunyn059</vt:lpstr>
      <vt:lpstr>belugabunyn060</vt:lpstr>
      <vt:lpstr>belugabunyn061</vt:lpstr>
      <vt:lpstr>belugabunyn062</vt:lpstr>
      <vt:lpstr>belugabunyn063</vt:lpstr>
      <vt:lpstr>belugabunyn064</vt:lpstr>
      <vt:lpstr>belugabunyn065</vt:lpstr>
      <vt:lpstr>belugabunyn066</vt:lpstr>
      <vt:lpstr>belugabunyn067</vt:lpstr>
      <vt:lpstr>belugabunyn068</vt:lpstr>
      <vt:lpstr>belugabunyn069</vt:lpstr>
      <vt:lpstr>belugabunyn070</vt:lpstr>
      <vt:lpstr>belugabunyn071</vt:lpstr>
      <vt:lpstr>belugabunyn072</vt:lpstr>
      <vt:lpstr>belugabunyn073</vt:lpstr>
      <vt:lpstr>belugabunyn074</vt:lpstr>
      <vt:lpstr>belugabunyn075</vt:lpstr>
      <vt:lpstr>belugabunyn076</vt:lpstr>
      <vt:lpstr>belugabunyn077</vt:lpstr>
      <vt:lpstr>belugabunyn078</vt:lpstr>
      <vt:lpstr>belugabunyn079</vt:lpstr>
      <vt:lpstr>belugabunyn080</vt:lpstr>
      <vt:lpstr>belugabunyn081</vt:lpstr>
      <vt:lpstr>belugabunyn082</vt:lpstr>
      <vt:lpstr>belugabunyn083</vt:lpstr>
      <vt:lpstr>belugabunyn084</vt:lpstr>
      <vt:lpstr>belugabunyn085</vt:lpstr>
      <vt:lpstr>belugabunyn086</vt:lpstr>
      <vt:lpstr>belugabunyn087</vt:lpstr>
      <vt:lpstr>belugabunyn088</vt:lpstr>
      <vt:lpstr>belugabunyn089</vt:lpstr>
      <vt:lpstr>belugabunyn090</vt:lpstr>
      <vt:lpstr>belugabunyn091</vt:lpstr>
      <vt:lpstr>belugabunyn092</vt:lpstr>
      <vt:lpstr>belugabunyn093</vt:lpstr>
      <vt:lpstr>belugabunyn094</vt:lpstr>
      <vt:lpstr>belugabunyn095</vt:lpstr>
      <vt:lpstr>belugabunyn096</vt:lpstr>
      <vt:lpstr>belugabunyn097</vt:lpstr>
      <vt:lpstr>belugabunyn098</vt:lpstr>
      <vt:lpstr>belugabunyn099</vt:lpstr>
      <vt:lpstr>belugabunyn100</vt:lpstr>
      <vt:lpstr>belugabunyn101</vt:lpstr>
      <vt:lpstr>belugabunyn102</vt:lpstr>
      <vt:lpstr>belugabunyn103</vt:lpstr>
      <vt:lpstr>belugabunyn104</vt:lpstr>
      <vt:lpstr>belugabunyn105</vt:lpstr>
      <vt:lpstr>belugabunyn106</vt:lpstr>
      <vt:lpstr>belugabunyn107</vt:lpstr>
      <vt:lpstr>belugabunyn108</vt:lpstr>
      <vt:lpstr>belugabunyn109</vt:lpstr>
      <vt:lpstr>belugabunyn110</vt:lpstr>
      <vt:lpstr>belugabunyn111</vt:lpstr>
      <vt:lpstr>belugabunyn112</vt:lpstr>
      <vt:lpstr>belugabunyn113</vt:lpstr>
      <vt:lpstr>belugabunyn114</vt:lpstr>
      <vt:lpstr>belugabunyn115</vt:lpstr>
      <vt:lpstr>belugabunyn116</vt:lpstr>
      <vt:lpstr>belugabunyn117</vt:lpstr>
      <vt:lpstr>belugabunyn118</vt:lpstr>
      <vt:lpstr>belugabunyn119</vt:lpstr>
      <vt:lpstr>belugabunyn120</vt:lpstr>
      <vt:lpstr>belugabunyn121</vt:lpstr>
      <vt:lpstr>belugabunyn122</vt:lpstr>
      <vt:lpstr>belugabunyn123</vt:lpstr>
      <vt:lpstr>belugabunyn124</vt:lpstr>
      <vt:lpstr>belugabunyn125</vt:lpstr>
      <vt:lpstr>belugabunyn126</vt:lpstr>
      <vt:lpstr>belugabunyn127</vt:lpstr>
      <vt:lpstr>belugabunyn128</vt:lpstr>
      <vt:lpstr>belugabunyn129</vt:lpstr>
      <vt:lpstr>belugabunyn130</vt:lpstr>
      <vt:lpstr>belugabunyn131</vt:lpstr>
      <vt:lpstr>belugabunyn132</vt:lpstr>
      <vt:lpstr>belugabunyn133</vt:lpstr>
      <vt:lpstr>belugabunyn134</vt:lpstr>
      <vt:lpstr>belugabunyn135</vt:lpstr>
      <vt:lpstr>belugabunyn136</vt:lpstr>
      <vt:lpstr>belugabunyn137</vt:lpstr>
      <vt:lpstr>belugabunyn138</vt:lpstr>
      <vt:lpstr>belugabunyn139</vt:lpstr>
      <vt:lpstr>belugabunyn140</vt:lpstr>
      <vt:lpstr>belugabunyn141</vt:lpstr>
      <vt:lpstr>belugabunyn142</vt:lpstr>
      <vt:lpstr>belugabunyn143</vt:lpstr>
      <vt:lpstr>belugabunyn144</vt:lpstr>
      <vt:lpstr>belugabunyn145</vt:lpstr>
      <vt:lpstr>belugabunyn146</vt:lpstr>
      <vt:lpstr>belugabunyn147</vt:lpstr>
      <vt:lpstr>belugabunyn148</vt:lpstr>
      <vt:lpstr>belugabunyn149</vt:lpstr>
      <vt:lpstr>belugabunyn150</vt:lpstr>
      <vt:lpstr>belugabunyn151</vt:lpstr>
      <vt:lpstr>belugabunyn152</vt:lpstr>
      <vt:lpstr>belugabunyn153</vt:lpstr>
      <vt:lpstr>belugabunyn154</vt:lpstr>
      <vt:lpstr>belugabunyn155</vt:lpstr>
      <vt:lpstr>belugabunyn156</vt:lpstr>
      <vt:lpstr>belugabunyn157</vt:lpstr>
      <vt:lpstr>belugabunyn158</vt:lpstr>
      <vt:lpstr>belugabunyn159</vt:lpstr>
      <vt:lpstr>belugabunyn160</vt:lpstr>
      <vt:lpstr>belugabunyn161</vt:lpstr>
      <vt:lpstr>belugabunyn162</vt:lpstr>
      <vt:lpstr>belugabunyn163</vt:lpstr>
      <vt:lpstr>belugabunyn164</vt:lpstr>
      <vt:lpstr>belugabunyn165</vt:lpstr>
      <vt:lpstr>belugabunyn166</vt:lpstr>
      <vt:lpstr>belugabunyn167</vt:lpstr>
      <vt:lpstr>belugabunyn168</vt:lpstr>
      <vt:lpstr>belugabunyn169</vt:lpstr>
      <vt:lpstr>belugabunyn170</vt:lpstr>
      <vt:lpstr>belugabunyn171</vt:lpstr>
      <vt:lpstr>belugabunyn172</vt:lpstr>
      <vt:lpstr>belugabunyn173</vt:lpstr>
      <vt:lpstr>belugabunyn174</vt:lpstr>
      <vt:lpstr>belugabunyn175</vt:lpstr>
      <vt:lpstr>belugabunyn176</vt:lpstr>
      <vt:lpstr>belugabunyn177</vt:lpstr>
      <vt:lpstr>belugabunyn178</vt:lpstr>
      <vt:lpstr>belugabunyn179</vt:lpstr>
      <vt:lpstr>belugabunyn180</vt:lpstr>
      <vt:lpstr>belugabunyn181</vt:lpstr>
      <vt:lpstr>belugabunyn182</vt:lpstr>
      <vt:lpstr>belugabunyn183</vt:lpstr>
      <vt:lpstr>belugabunyn184</vt:lpstr>
      <vt:lpstr>belugabunyn185</vt:lpstr>
      <vt:lpstr>belugabunyn186</vt:lpstr>
      <vt:lpstr>belugabunyn187</vt:lpstr>
      <vt:lpstr>belugabunyn188</vt:lpstr>
      <vt:lpstr>belugabunyn189</vt:lpstr>
      <vt:lpstr>belugabunyn190</vt:lpstr>
      <vt:lpstr>belugabunyn191</vt:lpstr>
      <vt:lpstr>belugabunyn192</vt:lpstr>
      <vt:lpstr>belugabunyn193</vt:lpstr>
      <vt:lpstr>belugabunyn194</vt:lpstr>
      <vt:lpstr>belugabunyn195</vt:lpstr>
      <vt:lpstr>belugabunyn196</vt:lpstr>
      <vt:lpstr>belugabunyn197</vt:lpstr>
      <vt:lpstr>belugabunyn198</vt:lpstr>
      <vt:lpstr>belugabunyn199</vt:lpstr>
      <vt:lpstr>belugabunyn200</vt:lpstr>
      <vt:lpstr>belugabunyn201</vt:lpstr>
      <vt:lpstr>belugabunyn202</vt:lpstr>
      <vt:lpstr>belugabunyn203</vt:lpstr>
      <vt:lpstr>belugabunyn204</vt:lpstr>
      <vt:lpstr>belugabunyn205</vt:lpstr>
      <vt:lpstr>belugabunyn206</vt:lpstr>
      <vt:lpstr>belugabunyn207</vt:lpstr>
      <vt:lpstr>belugabunyn208</vt:lpstr>
      <vt:lpstr>belugabunyn209</vt:lpstr>
      <vt:lpstr>belugabunyn210</vt:lpstr>
      <vt:lpstr>belugabunyn211</vt:lpstr>
      <vt:lpstr>belugabunyn212</vt:lpstr>
      <vt:lpstr>belugabunyn213</vt:lpstr>
      <vt:lpstr>belugabunyn214</vt:lpstr>
      <vt:lpstr>belugabunyn215</vt:lpstr>
      <vt:lpstr>belugabunyn216</vt:lpstr>
      <vt:lpstr>belugabunyn217</vt:lpstr>
      <vt:lpstr>belugabunyn218</vt:lpstr>
      <vt:lpstr>belugabunyn219</vt:lpstr>
      <vt:lpstr>belugabunyn220</vt:lpstr>
      <vt:lpstr>belugabunyn221</vt:lpstr>
      <vt:lpstr>belugabunyn222</vt:lpstr>
      <vt:lpstr>belugabunyn223</vt:lpstr>
      <vt:lpstr>belugabunyn224</vt:lpstr>
      <vt:lpstr>belugabunyn225</vt:lpstr>
      <vt:lpstr>belugabunyn226</vt:lpstr>
      <vt:lpstr>belugabunyn227</vt:lpstr>
      <vt:lpstr>belugabunyn228</vt:lpstr>
      <vt:lpstr>belugabunyn229</vt:lpstr>
      <vt:lpstr>belugabunyn230</vt:lpstr>
      <vt:lpstr>belugabunyn231</vt:lpstr>
      <vt:lpstr>belugabunyn232</vt:lpstr>
      <vt:lpstr>belugabunyn233</vt:lpstr>
      <vt:lpstr>belugabunyn234</vt:lpstr>
      <vt:lpstr>belugabunyn235</vt:lpstr>
      <vt:lpstr>belugabunyn236</vt:lpstr>
      <vt:lpstr>belugabunyn237</vt:lpstr>
      <vt:lpstr>belugabunyn238</vt:lpstr>
      <vt:lpstr>belugabunyn239</vt:lpstr>
      <vt:lpstr>belugabunyn240</vt:lpstr>
      <vt:lpstr>belugabunyn241</vt:lpstr>
      <vt:lpstr>belugabunyn242</vt:lpstr>
      <vt:lpstr>belugabunyn243</vt:lpstr>
      <vt:lpstr>belugabunyn244</vt:lpstr>
      <vt:lpstr>belugabunyn245</vt:lpstr>
      <vt:lpstr>belugabunyn246</vt:lpstr>
      <vt:lpstr>belugabunyn247</vt:lpstr>
      <vt:lpstr>belugabunyn248</vt:lpstr>
      <vt:lpstr>belugabunyn249</vt:lpstr>
      <vt:lpstr>belugabunyn250</vt:lpstr>
      <vt:lpstr>billid001</vt:lpstr>
      <vt:lpstr>billid002</vt:lpstr>
      <vt:lpstr>billid003</vt:lpstr>
      <vt:lpstr>billid004</vt:lpstr>
      <vt:lpstr>billid005</vt:lpstr>
      <vt:lpstr>billid006</vt:lpstr>
      <vt:lpstr>billid007</vt:lpstr>
      <vt:lpstr>billid008</vt:lpstr>
      <vt:lpstr>billid009</vt:lpstr>
      <vt:lpstr>billid010</vt:lpstr>
      <vt:lpstr>billid011</vt:lpstr>
      <vt:lpstr>billid012</vt:lpstr>
      <vt:lpstr>billid013</vt:lpstr>
      <vt:lpstr>billid014</vt:lpstr>
      <vt:lpstr>billid015</vt:lpstr>
      <vt:lpstr>billid016</vt:lpstr>
      <vt:lpstr>billid017</vt:lpstr>
      <vt:lpstr>billid018</vt:lpstr>
      <vt:lpstr>billid019</vt:lpstr>
      <vt:lpstr>billid020</vt:lpstr>
      <vt:lpstr>billid021</vt:lpstr>
      <vt:lpstr>billid022</vt:lpstr>
      <vt:lpstr>billid023</vt:lpstr>
      <vt:lpstr>billid024</vt:lpstr>
      <vt:lpstr>billid025</vt:lpstr>
      <vt:lpstr>billid026</vt:lpstr>
      <vt:lpstr>billid027</vt:lpstr>
      <vt:lpstr>billid028</vt:lpstr>
      <vt:lpstr>billid029</vt:lpstr>
      <vt:lpstr>billid030</vt:lpstr>
      <vt:lpstr>billid031</vt:lpstr>
      <vt:lpstr>billid032</vt:lpstr>
      <vt:lpstr>billid033</vt:lpstr>
      <vt:lpstr>billid034</vt:lpstr>
      <vt:lpstr>billid035</vt:lpstr>
      <vt:lpstr>billid036</vt:lpstr>
      <vt:lpstr>billid037</vt:lpstr>
      <vt:lpstr>billid038</vt:lpstr>
      <vt:lpstr>billid039</vt:lpstr>
      <vt:lpstr>billid040</vt:lpstr>
      <vt:lpstr>billid041</vt:lpstr>
      <vt:lpstr>billid042</vt:lpstr>
      <vt:lpstr>billid043</vt:lpstr>
      <vt:lpstr>billid044</vt:lpstr>
      <vt:lpstr>billid045</vt:lpstr>
      <vt:lpstr>billid046</vt:lpstr>
      <vt:lpstr>billid047</vt:lpstr>
      <vt:lpstr>billid048</vt:lpstr>
      <vt:lpstr>billid049</vt:lpstr>
      <vt:lpstr>billid050</vt:lpstr>
      <vt:lpstr>billid051</vt:lpstr>
      <vt:lpstr>billid052</vt:lpstr>
      <vt:lpstr>billid053</vt:lpstr>
      <vt:lpstr>billid054</vt:lpstr>
      <vt:lpstr>billid055</vt:lpstr>
      <vt:lpstr>billid056</vt:lpstr>
      <vt:lpstr>billid057</vt:lpstr>
      <vt:lpstr>billid058</vt:lpstr>
      <vt:lpstr>billid059</vt:lpstr>
      <vt:lpstr>billid060</vt:lpstr>
      <vt:lpstr>billid061</vt:lpstr>
      <vt:lpstr>billid062</vt:lpstr>
      <vt:lpstr>billid063</vt:lpstr>
      <vt:lpstr>billid064</vt:lpstr>
      <vt:lpstr>billid065</vt:lpstr>
      <vt:lpstr>billid066</vt:lpstr>
      <vt:lpstr>billid067</vt:lpstr>
      <vt:lpstr>billid068</vt:lpstr>
      <vt:lpstr>billid069</vt:lpstr>
      <vt:lpstr>billid070</vt:lpstr>
      <vt:lpstr>billid071</vt:lpstr>
      <vt:lpstr>billid072</vt:lpstr>
      <vt:lpstr>billid073</vt:lpstr>
      <vt:lpstr>billid074</vt:lpstr>
      <vt:lpstr>billid075</vt:lpstr>
      <vt:lpstr>billid076</vt:lpstr>
      <vt:lpstr>billid077</vt:lpstr>
      <vt:lpstr>billid078</vt:lpstr>
      <vt:lpstr>billid079</vt:lpstr>
      <vt:lpstr>billid080</vt:lpstr>
      <vt:lpstr>billid081</vt:lpstr>
      <vt:lpstr>billid082</vt:lpstr>
      <vt:lpstr>billid083</vt:lpstr>
      <vt:lpstr>billid084</vt:lpstr>
      <vt:lpstr>billid085</vt:lpstr>
      <vt:lpstr>billid086</vt:lpstr>
      <vt:lpstr>billid087</vt:lpstr>
      <vt:lpstr>billid088</vt:lpstr>
      <vt:lpstr>billid089</vt:lpstr>
      <vt:lpstr>billid090</vt:lpstr>
      <vt:lpstr>billid091</vt:lpstr>
      <vt:lpstr>billid092</vt:lpstr>
      <vt:lpstr>billid093</vt:lpstr>
      <vt:lpstr>billid094</vt:lpstr>
      <vt:lpstr>billid095</vt:lpstr>
      <vt:lpstr>billid096</vt:lpstr>
      <vt:lpstr>billid097</vt:lpstr>
      <vt:lpstr>billid098</vt:lpstr>
      <vt:lpstr>billid099</vt:lpstr>
      <vt:lpstr>billid100</vt:lpstr>
      <vt:lpstr>billid101</vt:lpstr>
      <vt:lpstr>billid102</vt:lpstr>
      <vt:lpstr>billid103</vt:lpstr>
      <vt:lpstr>billid104</vt:lpstr>
      <vt:lpstr>billid105</vt:lpstr>
      <vt:lpstr>billid106</vt:lpstr>
      <vt:lpstr>billid107</vt:lpstr>
      <vt:lpstr>billid108</vt:lpstr>
      <vt:lpstr>billid109</vt:lpstr>
      <vt:lpstr>billid110</vt:lpstr>
      <vt:lpstr>billid111</vt:lpstr>
      <vt:lpstr>billid112</vt:lpstr>
      <vt:lpstr>billid113</vt:lpstr>
      <vt:lpstr>billid114</vt:lpstr>
      <vt:lpstr>billid115</vt:lpstr>
      <vt:lpstr>billid116</vt:lpstr>
      <vt:lpstr>billid117</vt:lpstr>
      <vt:lpstr>billid118</vt:lpstr>
      <vt:lpstr>billid119</vt:lpstr>
      <vt:lpstr>billid120</vt:lpstr>
      <vt:lpstr>billid121</vt:lpstr>
      <vt:lpstr>billid122</vt:lpstr>
      <vt:lpstr>billid123</vt:lpstr>
      <vt:lpstr>billid124</vt:lpstr>
      <vt:lpstr>billid125</vt:lpstr>
      <vt:lpstr>billid126</vt:lpstr>
      <vt:lpstr>billid127</vt:lpstr>
      <vt:lpstr>billid128</vt:lpstr>
      <vt:lpstr>billid129</vt:lpstr>
      <vt:lpstr>billid130</vt:lpstr>
      <vt:lpstr>billid131</vt:lpstr>
      <vt:lpstr>billid132</vt:lpstr>
      <vt:lpstr>billid133</vt:lpstr>
      <vt:lpstr>billid134</vt:lpstr>
      <vt:lpstr>billid135</vt:lpstr>
      <vt:lpstr>billid136</vt:lpstr>
      <vt:lpstr>billid137</vt:lpstr>
      <vt:lpstr>billid138</vt:lpstr>
      <vt:lpstr>billid139</vt:lpstr>
      <vt:lpstr>billid140</vt:lpstr>
      <vt:lpstr>billid141</vt:lpstr>
      <vt:lpstr>billid142</vt:lpstr>
      <vt:lpstr>billid143</vt:lpstr>
      <vt:lpstr>billid144</vt:lpstr>
      <vt:lpstr>billid145</vt:lpstr>
      <vt:lpstr>billid146</vt:lpstr>
      <vt:lpstr>billid147</vt:lpstr>
      <vt:lpstr>billid148</vt:lpstr>
      <vt:lpstr>billid149</vt:lpstr>
      <vt:lpstr>billid150</vt:lpstr>
      <vt:lpstr>billid151</vt:lpstr>
      <vt:lpstr>billid152</vt:lpstr>
      <vt:lpstr>billid153</vt:lpstr>
      <vt:lpstr>billid154</vt:lpstr>
      <vt:lpstr>billid155</vt:lpstr>
      <vt:lpstr>billid156</vt:lpstr>
      <vt:lpstr>billid157</vt:lpstr>
      <vt:lpstr>billid158</vt:lpstr>
      <vt:lpstr>billid159</vt:lpstr>
      <vt:lpstr>billid160</vt:lpstr>
      <vt:lpstr>billid161</vt:lpstr>
      <vt:lpstr>billid162</vt:lpstr>
      <vt:lpstr>billid163</vt:lpstr>
      <vt:lpstr>billid164</vt:lpstr>
      <vt:lpstr>billid165</vt:lpstr>
      <vt:lpstr>billid166</vt:lpstr>
      <vt:lpstr>billid167</vt:lpstr>
      <vt:lpstr>billid168</vt:lpstr>
      <vt:lpstr>billid169</vt:lpstr>
      <vt:lpstr>billid170</vt:lpstr>
      <vt:lpstr>billid171</vt:lpstr>
      <vt:lpstr>billid172</vt:lpstr>
      <vt:lpstr>billid173</vt:lpstr>
      <vt:lpstr>billid174</vt:lpstr>
      <vt:lpstr>billid175</vt:lpstr>
      <vt:lpstr>billid176</vt:lpstr>
      <vt:lpstr>billid177</vt:lpstr>
      <vt:lpstr>billid178</vt:lpstr>
      <vt:lpstr>billid179</vt:lpstr>
      <vt:lpstr>billid180</vt:lpstr>
      <vt:lpstr>billid181</vt:lpstr>
      <vt:lpstr>billid182</vt:lpstr>
      <vt:lpstr>billid183</vt:lpstr>
      <vt:lpstr>billid184</vt:lpstr>
      <vt:lpstr>billid185</vt:lpstr>
      <vt:lpstr>billid186</vt:lpstr>
      <vt:lpstr>billid187</vt:lpstr>
      <vt:lpstr>billid188</vt:lpstr>
      <vt:lpstr>billid189</vt:lpstr>
      <vt:lpstr>billid190</vt:lpstr>
      <vt:lpstr>billid191</vt:lpstr>
      <vt:lpstr>billid192</vt:lpstr>
      <vt:lpstr>billid193</vt:lpstr>
      <vt:lpstr>billid194</vt:lpstr>
      <vt:lpstr>billid195</vt:lpstr>
      <vt:lpstr>billid196</vt:lpstr>
      <vt:lpstr>billid197</vt:lpstr>
      <vt:lpstr>billid198</vt:lpstr>
      <vt:lpstr>billid199</vt:lpstr>
      <vt:lpstr>billid200</vt:lpstr>
      <vt:lpstr>billid201</vt:lpstr>
      <vt:lpstr>billid202</vt:lpstr>
      <vt:lpstr>billid203</vt:lpstr>
      <vt:lpstr>billid204</vt:lpstr>
      <vt:lpstr>billid205</vt:lpstr>
      <vt:lpstr>billid206</vt:lpstr>
      <vt:lpstr>billid207</vt:lpstr>
      <vt:lpstr>billid208</vt:lpstr>
      <vt:lpstr>billid209</vt:lpstr>
      <vt:lpstr>billid210</vt:lpstr>
      <vt:lpstr>billid211</vt:lpstr>
      <vt:lpstr>billid212</vt:lpstr>
      <vt:lpstr>billid213</vt:lpstr>
      <vt:lpstr>billid214</vt:lpstr>
      <vt:lpstr>billid215</vt:lpstr>
      <vt:lpstr>billid216</vt:lpstr>
      <vt:lpstr>billid217</vt:lpstr>
      <vt:lpstr>billid218</vt:lpstr>
      <vt:lpstr>billid219</vt:lpstr>
      <vt:lpstr>billid220</vt:lpstr>
      <vt:lpstr>billid221</vt:lpstr>
      <vt:lpstr>billid222</vt:lpstr>
      <vt:lpstr>billid223</vt:lpstr>
      <vt:lpstr>billid224</vt:lpstr>
      <vt:lpstr>billid225</vt:lpstr>
      <vt:lpstr>billid226</vt:lpstr>
      <vt:lpstr>billid227</vt:lpstr>
      <vt:lpstr>billid228</vt:lpstr>
      <vt:lpstr>billid229</vt:lpstr>
      <vt:lpstr>billid230</vt:lpstr>
      <vt:lpstr>billid231</vt:lpstr>
      <vt:lpstr>billid232</vt:lpstr>
      <vt:lpstr>billid233</vt:lpstr>
      <vt:lpstr>billid234</vt:lpstr>
      <vt:lpstr>billid235</vt:lpstr>
      <vt:lpstr>billid236</vt:lpstr>
      <vt:lpstr>billid237</vt:lpstr>
      <vt:lpstr>billid238</vt:lpstr>
      <vt:lpstr>billid239</vt:lpstr>
      <vt:lpstr>billid240</vt:lpstr>
      <vt:lpstr>billid241</vt:lpstr>
      <vt:lpstr>billid242</vt:lpstr>
      <vt:lpstr>billid243</vt:lpstr>
      <vt:lpstr>billid244</vt:lpstr>
      <vt:lpstr>billid245</vt:lpstr>
      <vt:lpstr>billid246</vt:lpstr>
      <vt:lpstr>billid247</vt:lpstr>
      <vt:lpstr>billid248</vt:lpstr>
      <vt:lpstr>billid249</vt:lpstr>
      <vt:lpstr>billid250</vt:lpstr>
      <vt:lpstr>billingStationCustomerNumber</vt:lpstr>
      <vt:lpstr>billingStationDeptName</vt:lpstr>
      <vt:lpstr>billingStationDeptNameKana</vt:lpstr>
      <vt:lpstr>billingStationPerson</vt:lpstr>
      <vt:lpstr>billingStationPersonKana</vt:lpstr>
      <vt:lpstr>billingStationPhoneNumber</vt:lpstr>
      <vt:lpstr>billingStationPlan</vt:lpstr>
      <vt:lpstr>billingStationUseDataByNumber</vt:lpstr>
      <vt:lpstr>comment</vt:lpstr>
      <vt:lpstr>companycode001</vt:lpstr>
      <vt:lpstr>companycode002</vt:lpstr>
      <vt:lpstr>companycode003</vt:lpstr>
      <vt:lpstr>companycode004</vt:lpstr>
      <vt:lpstr>companycode005</vt:lpstr>
      <vt:lpstr>companycode006</vt:lpstr>
      <vt:lpstr>companycode007</vt:lpstr>
      <vt:lpstr>companycode008</vt:lpstr>
      <vt:lpstr>companycode009</vt:lpstr>
      <vt:lpstr>companycode010</vt:lpstr>
      <vt:lpstr>companycode011</vt:lpstr>
      <vt:lpstr>companycode012</vt:lpstr>
      <vt:lpstr>companycode013</vt:lpstr>
      <vt:lpstr>companycode014</vt:lpstr>
      <vt:lpstr>companycode015</vt:lpstr>
      <vt:lpstr>companycode016</vt:lpstr>
      <vt:lpstr>companycode017</vt:lpstr>
      <vt:lpstr>companycode018</vt:lpstr>
      <vt:lpstr>companycode019</vt:lpstr>
      <vt:lpstr>companycode020</vt:lpstr>
      <vt:lpstr>companycode021</vt:lpstr>
      <vt:lpstr>companycode022</vt:lpstr>
      <vt:lpstr>companycode023</vt:lpstr>
      <vt:lpstr>companycode024</vt:lpstr>
      <vt:lpstr>companycode025</vt:lpstr>
      <vt:lpstr>companycode026</vt:lpstr>
      <vt:lpstr>companycode027</vt:lpstr>
      <vt:lpstr>companycode028</vt:lpstr>
      <vt:lpstr>companycode029</vt:lpstr>
      <vt:lpstr>companycode030</vt:lpstr>
      <vt:lpstr>companycode031</vt:lpstr>
      <vt:lpstr>companycode032</vt:lpstr>
      <vt:lpstr>companycode033</vt:lpstr>
      <vt:lpstr>companycode034</vt:lpstr>
      <vt:lpstr>companycode035</vt:lpstr>
      <vt:lpstr>companycode036</vt:lpstr>
      <vt:lpstr>companycode037</vt:lpstr>
      <vt:lpstr>companycode038</vt:lpstr>
      <vt:lpstr>companycode039</vt:lpstr>
      <vt:lpstr>companycode040</vt:lpstr>
      <vt:lpstr>companycode041</vt:lpstr>
      <vt:lpstr>companycode042</vt:lpstr>
      <vt:lpstr>companycode043</vt:lpstr>
      <vt:lpstr>companycode044</vt:lpstr>
      <vt:lpstr>companycode045</vt:lpstr>
      <vt:lpstr>companycode046</vt:lpstr>
      <vt:lpstr>companycode047</vt:lpstr>
      <vt:lpstr>companycode048</vt:lpstr>
      <vt:lpstr>companycode049</vt:lpstr>
      <vt:lpstr>companycode050</vt:lpstr>
      <vt:lpstr>companycode051</vt:lpstr>
      <vt:lpstr>companycode052</vt:lpstr>
      <vt:lpstr>companycode053</vt:lpstr>
      <vt:lpstr>companycode054</vt:lpstr>
      <vt:lpstr>companycode055</vt:lpstr>
      <vt:lpstr>companycode056</vt:lpstr>
      <vt:lpstr>companycode057</vt:lpstr>
      <vt:lpstr>companycode058</vt:lpstr>
      <vt:lpstr>companycode059</vt:lpstr>
      <vt:lpstr>companycode060</vt:lpstr>
      <vt:lpstr>companycode061</vt:lpstr>
      <vt:lpstr>companycode062</vt:lpstr>
      <vt:lpstr>companycode063</vt:lpstr>
      <vt:lpstr>companycode064</vt:lpstr>
      <vt:lpstr>companycode065</vt:lpstr>
      <vt:lpstr>companycode066</vt:lpstr>
      <vt:lpstr>companycode067</vt:lpstr>
      <vt:lpstr>companycode068</vt:lpstr>
      <vt:lpstr>companycode069</vt:lpstr>
      <vt:lpstr>companycode070</vt:lpstr>
      <vt:lpstr>companycode071</vt:lpstr>
      <vt:lpstr>companycode072</vt:lpstr>
      <vt:lpstr>companycode073</vt:lpstr>
      <vt:lpstr>companycode074</vt:lpstr>
      <vt:lpstr>companycode075</vt:lpstr>
      <vt:lpstr>companycode076</vt:lpstr>
      <vt:lpstr>companycode077</vt:lpstr>
      <vt:lpstr>companycode078</vt:lpstr>
      <vt:lpstr>companycode079</vt:lpstr>
      <vt:lpstr>companycode080</vt:lpstr>
      <vt:lpstr>companycode081</vt:lpstr>
      <vt:lpstr>companycode082</vt:lpstr>
      <vt:lpstr>companycode083</vt:lpstr>
      <vt:lpstr>companycode084</vt:lpstr>
      <vt:lpstr>companycode085</vt:lpstr>
      <vt:lpstr>companycode086</vt:lpstr>
      <vt:lpstr>companycode087</vt:lpstr>
      <vt:lpstr>companycode088</vt:lpstr>
      <vt:lpstr>companycode089</vt:lpstr>
      <vt:lpstr>companycode090</vt:lpstr>
      <vt:lpstr>companycode091</vt:lpstr>
      <vt:lpstr>companycode092</vt:lpstr>
      <vt:lpstr>companycode093</vt:lpstr>
      <vt:lpstr>companycode094</vt:lpstr>
      <vt:lpstr>companycode095</vt:lpstr>
      <vt:lpstr>companycode096</vt:lpstr>
      <vt:lpstr>companycode097</vt:lpstr>
      <vt:lpstr>companycode098</vt:lpstr>
      <vt:lpstr>companycode099</vt:lpstr>
      <vt:lpstr>companycode100</vt:lpstr>
      <vt:lpstr>companycode101</vt:lpstr>
      <vt:lpstr>companycode102</vt:lpstr>
      <vt:lpstr>companycode103</vt:lpstr>
      <vt:lpstr>companycode104</vt:lpstr>
      <vt:lpstr>companycode105</vt:lpstr>
      <vt:lpstr>companycode106</vt:lpstr>
      <vt:lpstr>companycode107</vt:lpstr>
      <vt:lpstr>companycode108</vt:lpstr>
      <vt:lpstr>companycode109</vt:lpstr>
      <vt:lpstr>companycode110</vt:lpstr>
      <vt:lpstr>companycode111</vt:lpstr>
      <vt:lpstr>companycode112</vt:lpstr>
      <vt:lpstr>companycode113</vt:lpstr>
      <vt:lpstr>companycode114</vt:lpstr>
      <vt:lpstr>companycode115</vt:lpstr>
      <vt:lpstr>companycode116</vt:lpstr>
      <vt:lpstr>companycode117</vt:lpstr>
      <vt:lpstr>companycode118</vt:lpstr>
      <vt:lpstr>companycode119</vt:lpstr>
      <vt:lpstr>companycode120</vt:lpstr>
      <vt:lpstr>companycode121</vt:lpstr>
      <vt:lpstr>companycode122</vt:lpstr>
      <vt:lpstr>companycode123</vt:lpstr>
      <vt:lpstr>companycode124</vt:lpstr>
      <vt:lpstr>companycode125</vt:lpstr>
      <vt:lpstr>companycode126</vt:lpstr>
      <vt:lpstr>companycode127</vt:lpstr>
      <vt:lpstr>companycode128</vt:lpstr>
      <vt:lpstr>companycode129</vt:lpstr>
      <vt:lpstr>companycode130</vt:lpstr>
      <vt:lpstr>companycode131</vt:lpstr>
      <vt:lpstr>companycode132</vt:lpstr>
      <vt:lpstr>companycode133</vt:lpstr>
      <vt:lpstr>companycode134</vt:lpstr>
      <vt:lpstr>companycode135</vt:lpstr>
      <vt:lpstr>companycode136</vt:lpstr>
      <vt:lpstr>companycode137</vt:lpstr>
      <vt:lpstr>companycode138</vt:lpstr>
      <vt:lpstr>companycode139</vt:lpstr>
      <vt:lpstr>companycode140</vt:lpstr>
      <vt:lpstr>companycode141</vt:lpstr>
      <vt:lpstr>companycode142</vt:lpstr>
      <vt:lpstr>companycode143</vt:lpstr>
      <vt:lpstr>companycode144</vt:lpstr>
      <vt:lpstr>companycode145</vt:lpstr>
      <vt:lpstr>companycode146</vt:lpstr>
      <vt:lpstr>companycode147</vt:lpstr>
      <vt:lpstr>companycode148</vt:lpstr>
      <vt:lpstr>companycode149</vt:lpstr>
      <vt:lpstr>companycode150</vt:lpstr>
      <vt:lpstr>companycode151</vt:lpstr>
      <vt:lpstr>companycode152</vt:lpstr>
      <vt:lpstr>companycode153</vt:lpstr>
      <vt:lpstr>companycode154</vt:lpstr>
      <vt:lpstr>companycode155</vt:lpstr>
      <vt:lpstr>companycode156</vt:lpstr>
      <vt:lpstr>companycode157</vt:lpstr>
      <vt:lpstr>companycode158</vt:lpstr>
      <vt:lpstr>companycode159</vt:lpstr>
      <vt:lpstr>companycode160</vt:lpstr>
      <vt:lpstr>companycode161</vt:lpstr>
      <vt:lpstr>companycode162</vt:lpstr>
      <vt:lpstr>companycode163</vt:lpstr>
      <vt:lpstr>companycode164</vt:lpstr>
      <vt:lpstr>companycode165</vt:lpstr>
      <vt:lpstr>companycode166</vt:lpstr>
      <vt:lpstr>companycode167</vt:lpstr>
      <vt:lpstr>companycode168</vt:lpstr>
      <vt:lpstr>companycode169</vt:lpstr>
      <vt:lpstr>companycode170</vt:lpstr>
      <vt:lpstr>companycode171</vt:lpstr>
      <vt:lpstr>companycode172</vt:lpstr>
      <vt:lpstr>companycode173</vt:lpstr>
      <vt:lpstr>companycode174</vt:lpstr>
      <vt:lpstr>companycode175</vt:lpstr>
      <vt:lpstr>companycode176</vt:lpstr>
      <vt:lpstr>companycode177</vt:lpstr>
      <vt:lpstr>companycode178</vt:lpstr>
      <vt:lpstr>companycode179</vt:lpstr>
      <vt:lpstr>companycode180</vt:lpstr>
      <vt:lpstr>companycode181</vt:lpstr>
      <vt:lpstr>companycode182</vt:lpstr>
      <vt:lpstr>companycode183</vt:lpstr>
      <vt:lpstr>companycode184</vt:lpstr>
      <vt:lpstr>companycode185</vt:lpstr>
      <vt:lpstr>companycode186</vt:lpstr>
      <vt:lpstr>companycode187</vt:lpstr>
      <vt:lpstr>companycode188</vt:lpstr>
      <vt:lpstr>companycode189</vt:lpstr>
      <vt:lpstr>companycode190</vt:lpstr>
      <vt:lpstr>companycode191</vt:lpstr>
      <vt:lpstr>companycode192</vt:lpstr>
      <vt:lpstr>companycode193</vt:lpstr>
      <vt:lpstr>companycode194</vt:lpstr>
      <vt:lpstr>companycode195</vt:lpstr>
      <vt:lpstr>companycode196</vt:lpstr>
      <vt:lpstr>companycode197</vt:lpstr>
      <vt:lpstr>companycode198</vt:lpstr>
      <vt:lpstr>companycode199</vt:lpstr>
      <vt:lpstr>companycode200</vt:lpstr>
      <vt:lpstr>companycode201</vt:lpstr>
      <vt:lpstr>companycode202</vt:lpstr>
      <vt:lpstr>companycode203</vt:lpstr>
      <vt:lpstr>companycode204</vt:lpstr>
      <vt:lpstr>companycode205</vt:lpstr>
      <vt:lpstr>companycode206</vt:lpstr>
      <vt:lpstr>companycode207</vt:lpstr>
      <vt:lpstr>companycode208</vt:lpstr>
      <vt:lpstr>companycode209</vt:lpstr>
      <vt:lpstr>companycode210</vt:lpstr>
      <vt:lpstr>companycode211</vt:lpstr>
      <vt:lpstr>companycode212</vt:lpstr>
      <vt:lpstr>companycode213</vt:lpstr>
      <vt:lpstr>companycode214</vt:lpstr>
      <vt:lpstr>companycode215</vt:lpstr>
      <vt:lpstr>companycode216</vt:lpstr>
      <vt:lpstr>companycode217</vt:lpstr>
      <vt:lpstr>companycode218</vt:lpstr>
      <vt:lpstr>companycode219</vt:lpstr>
      <vt:lpstr>companycode220</vt:lpstr>
      <vt:lpstr>companycode221</vt:lpstr>
      <vt:lpstr>companycode222</vt:lpstr>
      <vt:lpstr>companycode223</vt:lpstr>
      <vt:lpstr>companycode224</vt:lpstr>
      <vt:lpstr>companycode225</vt:lpstr>
      <vt:lpstr>companycode226</vt:lpstr>
      <vt:lpstr>companycode227</vt:lpstr>
      <vt:lpstr>companycode228</vt:lpstr>
      <vt:lpstr>companycode229</vt:lpstr>
      <vt:lpstr>companycode230</vt:lpstr>
      <vt:lpstr>companycode231</vt:lpstr>
      <vt:lpstr>companycode232</vt:lpstr>
      <vt:lpstr>companycode233</vt:lpstr>
      <vt:lpstr>companycode234</vt:lpstr>
      <vt:lpstr>companycode235</vt:lpstr>
      <vt:lpstr>companycode236</vt:lpstr>
      <vt:lpstr>companycode237</vt:lpstr>
      <vt:lpstr>companycode238</vt:lpstr>
      <vt:lpstr>companycode239</vt:lpstr>
      <vt:lpstr>companycode240</vt:lpstr>
      <vt:lpstr>companycode241</vt:lpstr>
      <vt:lpstr>companycode242</vt:lpstr>
      <vt:lpstr>companycode243</vt:lpstr>
      <vt:lpstr>companycode244</vt:lpstr>
      <vt:lpstr>companycode245</vt:lpstr>
      <vt:lpstr>companycode246</vt:lpstr>
      <vt:lpstr>companycode247</vt:lpstr>
      <vt:lpstr>companycode248</vt:lpstr>
      <vt:lpstr>companycode249</vt:lpstr>
      <vt:lpstr>companycode250</vt:lpstr>
      <vt:lpstr>companyyn001</vt:lpstr>
      <vt:lpstr>companyyn002</vt:lpstr>
      <vt:lpstr>companyyn003</vt:lpstr>
      <vt:lpstr>companyyn004</vt:lpstr>
      <vt:lpstr>companyyn005</vt:lpstr>
      <vt:lpstr>companyyn006</vt:lpstr>
      <vt:lpstr>companyyn007</vt:lpstr>
      <vt:lpstr>companyyn008</vt:lpstr>
      <vt:lpstr>companyyn009</vt:lpstr>
      <vt:lpstr>companyyn010</vt:lpstr>
      <vt:lpstr>companyyn011</vt:lpstr>
      <vt:lpstr>companyyn012</vt:lpstr>
      <vt:lpstr>companyyn013</vt:lpstr>
      <vt:lpstr>companyyn014</vt:lpstr>
      <vt:lpstr>companyyn015</vt:lpstr>
      <vt:lpstr>companyyn016</vt:lpstr>
      <vt:lpstr>companyyn017</vt:lpstr>
      <vt:lpstr>companyyn018</vt:lpstr>
      <vt:lpstr>companyyn019</vt:lpstr>
      <vt:lpstr>companyyn020</vt:lpstr>
      <vt:lpstr>companyyn021</vt:lpstr>
      <vt:lpstr>companyyn022</vt:lpstr>
      <vt:lpstr>companyyn023</vt:lpstr>
      <vt:lpstr>companyyn024</vt:lpstr>
      <vt:lpstr>companyyn025</vt:lpstr>
      <vt:lpstr>companyyn026</vt:lpstr>
      <vt:lpstr>companyyn027</vt:lpstr>
      <vt:lpstr>companyyn028</vt:lpstr>
      <vt:lpstr>companyyn029</vt:lpstr>
      <vt:lpstr>companyyn030</vt:lpstr>
      <vt:lpstr>companyyn031</vt:lpstr>
      <vt:lpstr>companyyn032</vt:lpstr>
      <vt:lpstr>companyyn033</vt:lpstr>
      <vt:lpstr>companyyn034</vt:lpstr>
      <vt:lpstr>companyyn035</vt:lpstr>
      <vt:lpstr>companyyn036</vt:lpstr>
      <vt:lpstr>companyyn037</vt:lpstr>
      <vt:lpstr>companyyn038</vt:lpstr>
      <vt:lpstr>companyyn039</vt:lpstr>
      <vt:lpstr>companyyn040</vt:lpstr>
      <vt:lpstr>companyyn041</vt:lpstr>
      <vt:lpstr>companyyn042</vt:lpstr>
      <vt:lpstr>companyyn043</vt:lpstr>
      <vt:lpstr>companyyn044</vt:lpstr>
      <vt:lpstr>companyyn045</vt:lpstr>
      <vt:lpstr>companyyn046</vt:lpstr>
      <vt:lpstr>companyyn047</vt:lpstr>
      <vt:lpstr>companyyn048</vt:lpstr>
      <vt:lpstr>companyyn049</vt:lpstr>
      <vt:lpstr>companyyn050</vt:lpstr>
      <vt:lpstr>companyyn051</vt:lpstr>
      <vt:lpstr>companyyn052</vt:lpstr>
      <vt:lpstr>companyyn053</vt:lpstr>
      <vt:lpstr>companyyn054</vt:lpstr>
      <vt:lpstr>companyyn055</vt:lpstr>
      <vt:lpstr>companyyn056</vt:lpstr>
      <vt:lpstr>companyyn057</vt:lpstr>
      <vt:lpstr>companyyn058</vt:lpstr>
      <vt:lpstr>companyyn059</vt:lpstr>
      <vt:lpstr>companyyn060</vt:lpstr>
      <vt:lpstr>companyyn061</vt:lpstr>
      <vt:lpstr>companyyn062</vt:lpstr>
      <vt:lpstr>companyyn063</vt:lpstr>
      <vt:lpstr>companyyn064</vt:lpstr>
      <vt:lpstr>companyyn065</vt:lpstr>
      <vt:lpstr>companyyn066</vt:lpstr>
      <vt:lpstr>companyyn067</vt:lpstr>
      <vt:lpstr>companyyn068</vt:lpstr>
      <vt:lpstr>companyyn069</vt:lpstr>
      <vt:lpstr>companyyn070</vt:lpstr>
      <vt:lpstr>companyyn071</vt:lpstr>
      <vt:lpstr>companyyn072</vt:lpstr>
      <vt:lpstr>companyyn073</vt:lpstr>
      <vt:lpstr>companyyn074</vt:lpstr>
      <vt:lpstr>companyyn075</vt:lpstr>
      <vt:lpstr>companyyn076</vt:lpstr>
      <vt:lpstr>companyyn077</vt:lpstr>
      <vt:lpstr>companyyn078</vt:lpstr>
      <vt:lpstr>companyyn079</vt:lpstr>
      <vt:lpstr>companyyn080</vt:lpstr>
      <vt:lpstr>companyyn081</vt:lpstr>
      <vt:lpstr>companyyn082</vt:lpstr>
      <vt:lpstr>companyyn083</vt:lpstr>
      <vt:lpstr>companyyn084</vt:lpstr>
      <vt:lpstr>companyyn085</vt:lpstr>
      <vt:lpstr>companyyn086</vt:lpstr>
      <vt:lpstr>companyyn087</vt:lpstr>
      <vt:lpstr>companyyn088</vt:lpstr>
      <vt:lpstr>companyyn089</vt:lpstr>
      <vt:lpstr>companyyn090</vt:lpstr>
      <vt:lpstr>companyyn091</vt:lpstr>
      <vt:lpstr>companyyn092</vt:lpstr>
      <vt:lpstr>companyyn093</vt:lpstr>
      <vt:lpstr>companyyn094</vt:lpstr>
      <vt:lpstr>companyyn095</vt:lpstr>
      <vt:lpstr>companyyn096</vt:lpstr>
      <vt:lpstr>companyyn097</vt:lpstr>
      <vt:lpstr>companyyn098</vt:lpstr>
      <vt:lpstr>companyyn099</vt:lpstr>
      <vt:lpstr>companyyn100</vt:lpstr>
      <vt:lpstr>companyyn101</vt:lpstr>
      <vt:lpstr>companyyn102</vt:lpstr>
      <vt:lpstr>companyyn103</vt:lpstr>
      <vt:lpstr>companyyn104</vt:lpstr>
      <vt:lpstr>companyyn105</vt:lpstr>
      <vt:lpstr>companyyn106</vt:lpstr>
      <vt:lpstr>companyyn107</vt:lpstr>
      <vt:lpstr>companyyn108</vt:lpstr>
      <vt:lpstr>companyyn109</vt:lpstr>
      <vt:lpstr>companyyn110</vt:lpstr>
      <vt:lpstr>companyyn111</vt:lpstr>
      <vt:lpstr>companyyn112</vt:lpstr>
      <vt:lpstr>companyyn113</vt:lpstr>
      <vt:lpstr>companyyn114</vt:lpstr>
      <vt:lpstr>companyyn115</vt:lpstr>
      <vt:lpstr>companyyn116</vt:lpstr>
      <vt:lpstr>companyyn117</vt:lpstr>
      <vt:lpstr>companyyn118</vt:lpstr>
      <vt:lpstr>companyyn119</vt:lpstr>
      <vt:lpstr>companyyn120</vt:lpstr>
      <vt:lpstr>companyyn121</vt:lpstr>
      <vt:lpstr>companyyn122</vt:lpstr>
      <vt:lpstr>companyyn123</vt:lpstr>
      <vt:lpstr>companyyn124</vt:lpstr>
      <vt:lpstr>companyyn125</vt:lpstr>
      <vt:lpstr>companyyn126</vt:lpstr>
      <vt:lpstr>companyyn127</vt:lpstr>
      <vt:lpstr>companyyn128</vt:lpstr>
      <vt:lpstr>companyyn129</vt:lpstr>
      <vt:lpstr>companyyn130</vt:lpstr>
      <vt:lpstr>companyyn131</vt:lpstr>
      <vt:lpstr>companyyn132</vt:lpstr>
      <vt:lpstr>companyyn133</vt:lpstr>
      <vt:lpstr>companyyn134</vt:lpstr>
      <vt:lpstr>companyyn135</vt:lpstr>
      <vt:lpstr>companyyn136</vt:lpstr>
      <vt:lpstr>companyyn137</vt:lpstr>
      <vt:lpstr>companyyn138</vt:lpstr>
      <vt:lpstr>companyyn139</vt:lpstr>
      <vt:lpstr>companyyn140</vt:lpstr>
      <vt:lpstr>companyyn141</vt:lpstr>
      <vt:lpstr>companyyn142</vt:lpstr>
      <vt:lpstr>companyyn143</vt:lpstr>
      <vt:lpstr>companyyn144</vt:lpstr>
      <vt:lpstr>companyyn145</vt:lpstr>
      <vt:lpstr>companyyn146</vt:lpstr>
      <vt:lpstr>companyyn147</vt:lpstr>
      <vt:lpstr>companyyn148</vt:lpstr>
      <vt:lpstr>companyyn149</vt:lpstr>
      <vt:lpstr>companyyn150</vt:lpstr>
      <vt:lpstr>companyyn151</vt:lpstr>
      <vt:lpstr>companyyn152</vt:lpstr>
      <vt:lpstr>companyyn153</vt:lpstr>
      <vt:lpstr>companyyn154</vt:lpstr>
      <vt:lpstr>companyyn155</vt:lpstr>
      <vt:lpstr>companyyn156</vt:lpstr>
      <vt:lpstr>companyyn157</vt:lpstr>
      <vt:lpstr>companyyn158</vt:lpstr>
      <vt:lpstr>companyyn159</vt:lpstr>
      <vt:lpstr>companyyn160</vt:lpstr>
      <vt:lpstr>companyyn161</vt:lpstr>
      <vt:lpstr>companyyn162</vt:lpstr>
      <vt:lpstr>companyyn163</vt:lpstr>
      <vt:lpstr>companyyn164</vt:lpstr>
      <vt:lpstr>companyyn165</vt:lpstr>
      <vt:lpstr>companyyn166</vt:lpstr>
      <vt:lpstr>companyyn167</vt:lpstr>
      <vt:lpstr>companyyn168</vt:lpstr>
      <vt:lpstr>companyyn169</vt:lpstr>
      <vt:lpstr>companyyn170</vt:lpstr>
      <vt:lpstr>companyyn171</vt:lpstr>
      <vt:lpstr>companyyn172</vt:lpstr>
      <vt:lpstr>companyyn173</vt:lpstr>
      <vt:lpstr>companyyn174</vt:lpstr>
      <vt:lpstr>companyyn175</vt:lpstr>
      <vt:lpstr>companyyn176</vt:lpstr>
      <vt:lpstr>companyyn177</vt:lpstr>
      <vt:lpstr>companyyn178</vt:lpstr>
      <vt:lpstr>companyyn179</vt:lpstr>
      <vt:lpstr>companyyn180</vt:lpstr>
      <vt:lpstr>companyyn181</vt:lpstr>
      <vt:lpstr>companyyn182</vt:lpstr>
      <vt:lpstr>companyyn183</vt:lpstr>
      <vt:lpstr>companyyn184</vt:lpstr>
      <vt:lpstr>companyyn185</vt:lpstr>
      <vt:lpstr>companyyn186</vt:lpstr>
      <vt:lpstr>companyyn187</vt:lpstr>
      <vt:lpstr>companyyn188</vt:lpstr>
      <vt:lpstr>companyyn189</vt:lpstr>
      <vt:lpstr>companyyn190</vt:lpstr>
      <vt:lpstr>companyyn191</vt:lpstr>
      <vt:lpstr>companyyn192</vt:lpstr>
      <vt:lpstr>companyyn193</vt:lpstr>
      <vt:lpstr>companyyn194</vt:lpstr>
      <vt:lpstr>companyyn195</vt:lpstr>
      <vt:lpstr>companyyn196</vt:lpstr>
      <vt:lpstr>companyyn197</vt:lpstr>
      <vt:lpstr>companyyn198</vt:lpstr>
      <vt:lpstr>companyyn199</vt:lpstr>
      <vt:lpstr>companyyn200</vt:lpstr>
      <vt:lpstr>companyyn201</vt:lpstr>
      <vt:lpstr>companyyn202</vt:lpstr>
      <vt:lpstr>companyyn203</vt:lpstr>
      <vt:lpstr>companyyn204</vt:lpstr>
      <vt:lpstr>companyyn205</vt:lpstr>
      <vt:lpstr>companyyn206</vt:lpstr>
      <vt:lpstr>companyyn207</vt:lpstr>
      <vt:lpstr>companyyn208</vt:lpstr>
      <vt:lpstr>companyyn209</vt:lpstr>
      <vt:lpstr>companyyn210</vt:lpstr>
      <vt:lpstr>companyyn211</vt:lpstr>
      <vt:lpstr>companyyn212</vt:lpstr>
      <vt:lpstr>companyyn213</vt:lpstr>
      <vt:lpstr>companyyn214</vt:lpstr>
      <vt:lpstr>companyyn215</vt:lpstr>
      <vt:lpstr>companyyn216</vt:lpstr>
      <vt:lpstr>companyyn217</vt:lpstr>
      <vt:lpstr>companyyn218</vt:lpstr>
      <vt:lpstr>companyyn219</vt:lpstr>
      <vt:lpstr>companyyn220</vt:lpstr>
      <vt:lpstr>companyyn221</vt:lpstr>
      <vt:lpstr>companyyn222</vt:lpstr>
      <vt:lpstr>companyyn223</vt:lpstr>
      <vt:lpstr>companyyn224</vt:lpstr>
      <vt:lpstr>companyyn225</vt:lpstr>
      <vt:lpstr>companyyn226</vt:lpstr>
      <vt:lpstr>companyyn227</vt:lpstr>
      <vt:lpstr>companyyn228</vt:lpstr>
      <vt:lpstr>companyyn229</vt:lpstr>
      <vt:lpstr>companyyn230</vt:lpstr>
      <vt:lpstr>companyyn231</vt:lpstr>
      <vt:lpstr>companyyn232</vt:lpstr>
      <vt:lpstr>companyyn233</vt:lpstr>
      <vt:lpstr>companyyn234</vt:lpstr>
      <vt:lpstr>companyyn235</vt:lpstr>
      <vt:lpstr>companyyn236</vt:lpstr>
      <vt:lpstr>companyyn237</vt:lpstr>
      <vt:lpstr>companyyn238</vt:lpstr>
      <vt:lpstr>companyyn239</vt:lpstr>
      <vt:lpstr>companyyn240</vt:lpstr>
      <vt:lpstr>companyyn241</vt:lpstr>
      <vt:lpstr>companyyn242</vt:lpstr>
      <vt:lpstr>companyyn243</vt:lpstr>
      <vt:lpstr>companyyn244</vt:lpstr>
      <vt:lpstr>companyyn245</vt:lpstr>
      <vt:lpstr>companyyn246</vt:lpstr>
      <vt:lpstr>companyyn247</vt:lpstr>
      <vt:lpstr>companyyn248</vt:lpstr>
      <vt:lpstr>companyyn249</vt:lpstr>
      <vt:lpstr>companyyn250</vt:lpstr>
      <vt:lpstr>contractCustomerAddress</vt:lpstr>
      <vt:lpstr>contractCustomerAddress2</vt:lpstr>
      <vt:lpstr>contractCustomerAddressKana</vt:lpstr>
      <vt:lpstr>contractCustomerName</vt:lpstr>
      <vt:lpstr>contractCustomerNameKana</vt:lpstr>
      <vt:lpstr>contractCustomerPostalNumber</vt:lpstr>
      <vt:lpstr>formVersion</vt:lpstr>
      <vt:lpstr>keiyakuid001</vt:lpstr>
      <vt:lpstr>keiyakuid002</vt:lpstr>
      <vt:lpstr>keiyakuid003</vt:lpstr>
      <vt:lpstr>keiyakuid004</vt:lpstr>
      <vt:lpstr>keiyakuid005</vt:lpstr>
      <vt:lpstr>keiyakuid006</vt:lpstr>
      <vt:lpstr>keiyakuid007</vt:lpstr>
      <vt:lpstr>keiyakuid008</vt:lpstr>
      <vt:lpstr>keiyakuid009</vt:lpstr>
      <vt:lpstr>keiyakuid010</vt:lpstr>
      <vt:lpstr>keiyakuid011</vt:lpstr>
      <vt:lpstr>keiyakuid012</vt:lpstr>
      <vt:lpstr>keiyakuid013</vt:lpstr>
      <vt:lpstr>keiyakuid014</vt:lpstr>
      <vt:lpstr>keiyakuid015</vt:lpstr>
      <vt:lpstr>keiyakuid016</vt:lpstr>
      <vt:lpstr>keiyakuid017</vt:lpstr>
      <vt:lpstr>keiyakuid018</vt:lpstr>
      <vt:lpstr>keiyakuid019</vt:lpstr>
      <vt:lpstr>keiyakuid020</vt:lpstr>
      <vt:lpstr>keiyakuid021</vt:lpstr>
      <vt:lpstr>keiyakuid022</vt:lpstr>
      <vt:lpstr>keiyakuid023</vt:lpstr>
      <vt:lpstr>keiyakuid024</vt:lpstr>
      <vt:lpstr>keiyakuid025</vt:lpstr>
      <vt:lpstr>keiyakuid026</vt:lpstr>
      <vt:lpstr>keiyakuid027</vt:lpstr>
      <vt:lpstr>keiyakuid028</vt:lpstr>
      <vt:lpstr>keiyakuid029</vt:lpstr>
      <vt:lpstr>keiyakuid030</vt:lpstr>
      <vt:lpstr>keiyakuid031</vt:lpstr>
      <vt:lpstr>keiyakuid032</vt:lpstr>
      <vt:lpstr>keiyakuid033</vt:lpstr>
      <vt:lpstr>keiyakuid034</vt:lpstr>
      <vt:lpstr>keiyakuid035</vt:lpstr>
      <vt:lpstr>keiyakuid036</vt:lpstr>
      <vt:lpstr>keiyakuid037</vt:lpstr>
      <vt:lpstr>keiyakuid038</vt:lpstr>
      <vt:lpstr>keiyakuid039</vt:lpstr>
      <vt:lpstr>keiyakuid040</vt:lpstr>
      <vt:lpstr>keiyakuid041</vt:lpstr>
      <vt:lpstr>keiyakuid042</vt:lpstr>
      <vt:lpstr>keiyakuid043</vt:lpstr>
      <vt:lpstr>keiyakuid044</vt:lpstr>
      <vt:lpstr>keiyakuid045</vt:lpstr>
      <vt:lpstr>keiyakuid046</vt:lpstr>
      <vt:lpstr>keiyakuid047</vt:lpstr>
      <vt:lpstr>keiyakuid048</vt:lpstr>
      <vt:lpstr>keiyakuid049</vt:lpstr>
      <vt:lpstr>keiyakuid050</vt:lpstr>
      <vt:lpstr>keiyakuid051</vt:lpstr>
      <vt:lpstr>keiyakuid052</vt:lpstr>
      <vt:lpstr>keiyakuid053</vt:lpstr>
      <vt:lpstr>keiyakuid054</vt:lpstr>
      <vt:lpstr>keiyakuid055</vt:lpstr>
      <vt:lpstr>keiyakuid056</vt:lpstr>
      <vt:lpstr>keiyakuid057</vt:lpstr>
      <vt:lpstr>keiyakuid058</vt:lpstr>
      <vt:lpstr>keiyakuid059</vt:lpstr>
      <vt:lpstr>keiyakuid060</vt:lpstr>
      <vt:lpstr>keiyakuid061</vt:lpstr>
      <vt:lpstr>keiyakuid062</vt:lpstr>
      <vt:lpstr>keiyakuid063</vt:lpstr>
      <vt:lpstr>keiyakuid064</vt:lpstr>
      <vt:lpstr>keiyakuid065</vt:lpstr>
      <vt:lpstr>keiyakuid066</vt:lpstr>
      <vt:lpstr>keiyakuid067</vt:lpstr>
      <vt:lpstr>keiyakuid068</vt:lpstr>
      <vt:lpstr>keiyakuid069</vt:lpstr>
      <vt:lpstr>keiyakuid070</vt:lpstr>
      <vt:lpstr>keiyakuid071</vt:lpstr>
      <vt:lpstr>keiyakuid072</vt:lpstr>
      <vt:lpstr>keiyakuid073</vt:lpstr>
      <vt:lpstr>keiyakuid074</vt:lpstr>
      <vt:lpstr>keiyakuid075</vt:lpstr>
      <vt:lpstr>keiyakuid076</vt:lpstr>
      <vt:lpstr>keiyakuid077</vt:lpstr>
      <vt:lpstr>keiyakuid078</vt:lpstr>
      <vt:lpstr>keiyakuid079</vt:lpstr>
      <vt:lpstr>keiyakuid080</vt:lpstr>
      <vt:lpstr>keiyakuid081</vt:lpstr>
      <vt:lpstr>keiyakuid082</vt:lpstr>
      <vt:lpstr>keiyakuid083</vt:lpstr>
      <vt:lpstr>keiyakuid084</vt:lpstr>
      <vt:lpstr>keiyakuid085</vt:lpstr>
      <vt:lpstr>keiyakuid086</vt:lpstr>
      <vt:lpstr>keiyakuid087</vt:lpstr>
      <vt:lpstr>keiyakuid088</vt:lpstr>
      <vt:lpstr>keiyakuid089</vt:lpstr>
      <vt:lpstr>keiyakuid090</vt:lpstr>
      <vt:lpstr>keiyakuid091</vt:lpstr>
      <vt:lpstr>keiyakuid092</vt:lpstr>
      <vt:lpstr>keiyakuid093</vt:lpstr>
      <vt:lpstr>keiyakuid094</vt:lpstr>
      <vt:lpstr>keiyakuid095</vt:lpstr>
      <vt:lpstr>keiyakuid096</vt:lpstr>
      <vt:lpstr>keiyakuid097</vt:lpstr>
      <vt:lpstr>keiyakuid098</vt:lpstr>
      <vt:lpstr>keiyakuid099</vt:lpstr>
      <vt:lpstr>keiyakuid100</vt:lpstr>
      <vt:lpstr>keiyakuid101</vt:lpstr>
      <vt:lpstr>keiyakuid102</vt:lpstr>
      <vt:lpstr>keiyakuid103</vt:lpstr>
      <vt:lpstr>keiyakuid104</vt:lpstr>
      <vt:lpstr>keiyakuid105</vt:lpstr>
      <vt:lpstr>keiyakuid106</vt:lpstr>
      <vt:lpstr>keiyakuid107</vt:lpstr>
      <vt:lpstr>keiyakuid108</vt:lpstr>
      <vt:lpstr>keiyakuid109</vt:lpstr>
      <vt:lpstr>keiyakuid110</vt:lpstr>
      <vt:lpstr>keiyakuid111</vt:lpstr>
      <vt:lpstr>keiyakuid112</vt:lpstr>
      <vt:lpstr>keiyakuid113</vt:lpstr>
      <vt:lpstr>keiyakuid114</vt:lpstr>
      <vt:lpstr>keiyakuid115</vt:lpstr>
      <vt:lpstr>keiyakuid116</vt:lpstr>
      <vt:lpstr>keiyakuid117</vt:lpstr>
      <vt:lpstr>keiyakuid118</vt:lpstr>
      <vt:lpstr>keiyakuid119</vt:lpstr>
      <vt:lpstr>keiyakuid120</vt:lpstr>
      <vt:lpstr>keiyakuid121</vt:lpstr>
      <vt:lpstr>keiyakuid122</vt:lpstr>
      <vt:lpstr>keiyakuid123</vt:lpstr>
      <vt:lpstr>keiyakuid124</vt:lpstr>
      <vt:lpstr>keiyakuid125</vt:lpstr>
      <vt:lpstr>keiyakuid126</vt:lpstr>
      <vt:lpstr>keiyakuid127</vt:lpstr>
      <vt:lpstr>keiyakuid128</vt:lpstr>
      <vt:lpstr>keiyakuid129</vt:lpstr>
      <vt:lpstr>keiyakuid130</vt:lpstr>
      <vt:lpstr>keiyakuid131</vt:lpstr>
      <vt:lpstr>keiyakuid132</vt:lpstr>
      <vt:lpstr>keiyakuid133</vt:lpstr>
      <vt:lpstr>keiyakuid134</vt:lpstr>
      <vt:lpstr>keiyakuid135</vt:lpstr>
      <vt:lpstr>keiyakuid136</vt:lpstr>
      <vt:lpstr>keiyakuid137</vt:lpstr>
      <vt:lpstr>keiyakuid138</vt:lpstr>
      <vt:lpstr>keiyakuid139</vt:lpstr>
      <vt:lpstr>keiyakuid140</vt:lpstr>
      <vt:lpstr>keiyakuid141</vt:lpstr>
      <vt:lpstr>keiyakuid142</vt:lpstr>
      <vt:lpstr>keiyakuid143</vt:lpstr>
      <vt:lpstr>keiyakuid144</vt:lpstr>
      <vt:lpstr>keiyakuid145</vt:lpstr>
      <vt:lpstr>keiyakuid146</vt:lpstr>
      <vt:lpstr>keiyakuid147</vt:lpstr>
      <vt:lpstr>keiyakuid148</vt:lpstr>
      <vt:lpstr>keiyakuid149</vt:lpstr>
      <vt:lpstr>keiyakuid150</vt:lpstr>
      <vt:lpstr>keiyakuid151</vt:lpstr>
      <vt:lpstr>keiyakuid152</vt:lpstr>
      <vt:lpstr>keiyakuid153</vt:lpstr>
      <vt:lpstr>keiyakuid154</vt:lpstr>
      <vt:lpstr>keiyakuid155</vt:lpstr>
      <vt:lpstr>keiyakuid156</vt:lpstr>
      <vt:lpstr>keiyakuid157</vt:lpstr>
      <vt:lpstr>keiyakuid158</vt:lpstr>
      <vt:lpstr>keiyakuid159</vt:lpstr>
      <vt:lpstr>keiyakuid160</vt:lpstr>
      <vt:lpstr>keiyakuid161</vt:lpstr>
      <vt:lpstr>keiyakuid162</vt:lpstr>
      <vt:lpstr>keiyakuid163</vt:lpstr>
      <vt:lpstr>keiyakuid164</vt:lpstr>
      <vt:lpstr>keiyakuid165</vt:lpstr>
      <vt:lpstr>keiyakuid166</vt:lpstr>
      <vt:lpstr>keiyakuid167</vt:lpstr>
      <vt:lpstr>keiyakuid168</vt:lpstr>
      <vt:lpstr>keiyakuid169</vt:lpstr>
      <vt:lpstr>keiyakuid170</vt:lpstr>
      <vt:lpstr>keiyakuid171</vt:lpstr>
      <vt:lpstr>keiyakuid172</vt:lpstr>
      <vt:lpstr>keiyakuid173</vt:lpstr>
      <vt:lpstr>keiyakuid174</vt:lpstr>
      <vt:lpstr>keiyakuid175</vt:lpstr>
      <vt:lpstr>keiyakuid176</vt:lpstr>
      <vt:lpstr>keiyakuid177</vt:lpstr>
      <vt:lpstr>keiyakuid178</vt:lpstr>
      <vt:lpstr>keiyakuid179</vt:lpstr>
      <vt:lpstr>keiyakuid180</vt:lpstr>
      <vt:lpstr>keiyakuid181</vt:lpstr>
      <vt:lpstr>keiyakuid182</vt:lpstr>
      <vt:lpstr>keiyakuid183</vt:lpstr>
      <vt:lpstr>keiyakuid184</vt:lpstr>
      <vt:lpstr>keiyakuid185</vt:lpstr>
      <vt:lpstr>keiyakuid186</vt:lpstr>
      <vt:lpstr>keiyakuid187</vt:lpstr>
      <vt:lpstr>keiyakuid188</vt:lpstr>
      <vt:lpstr>keiyakuid189</vt:lpstr>
      <vt:lpstr>keiyakuid190</vt:lpstr>
      <vt:lpstr>keiyakuid191</vt:lpstr>
      <vt:lpstr>keiyakuid192</vt:lpstr>
      <vt:lpstr>keiyakuid193</vt:lpstr>
      <vt:lpstr>keiyakuid194</vt:lpstr>
      <vt:lpstr>keiyakuid195</vt:lpstr>
      <vt:lpstr>keiyakuid196</vt:lpstr>
      <vt:lpstr>keiyakuid197</vt:lpstr>
      <vt:lpstr>keiyakuid198</vt:lpstr>
      <vt:lpstr>keiyakuid199</vt:lpstr>
      <vt:lpstr>keiyakuid200</vt:lpstr>
      <vt:lpstr>keiyakuid201</vt:lpstr>
      <vt:lpstr>keiyakuid202</vt:lpstr>
      <vt:lpstr>keiyakuid203</vt:lpstr>
      <vt:lpstr>keiyakuid204</vt:lpstr>
      <vt:lpstr>keiyakuid205</vt:lpstr>
      <vt:lpstr>keiyakuid206</vt:lpstr>
      <vt:lpstr>keiyakuid207</vt:lpstr>
      <vt:lpstr>keiyakuid208</vt:lpstr>
      <vt:lpstr>keiyakuid209</vt:lpstr>
      <vt:lpstr>keiyakuid210</vt:lpstr>
      <vt:lpstr>keiyakuid211</vt:lpstr>
      <vt:lpstr>keiyakuid212</vt:lpstr>
      <vt:lpstr>keiyakuid213</vt:lpstr>
      <vt:lpstr>keiyakuid214</vt:lpstr>
      <vt:lpstr>keiyakuid215</vt:lpstr>
      <vt:lpstr>keiyakuid216</vt:lpstr>
      <vt:lpstr>keiyakuid217</vt:lpstr>
      <vt:lpstr>keiyakuid218</vt:lpstr>
      <vt:lpstr>keiyakuid219</vt:lpstr>
      <vt:lpstr>keiyakuid220</vt:lpstr>
      <vt:lpstr>keiyakuid221</vt:lpstr>
      <vt:lpstr>keiyakuid222</vt:lpstr>
      <vt:lpstr>keiyakuid223</vt:lpstr>
      <vt:lpstr>keiyakuid224</vt:lpstr>
      <vt:lpstr>keiyakuid225</vt:lpstr>
      <vt:lpstr>keiyakuid226</vt:lpstr>
      <vt:lpstr>keiyakuid227</vt:lpstr>
      <vt:lpstr>keiyakuid228</vt:lpstr>
      <vt:lpstr>keiyakuid229</vt:lpstr>
      <vt:lpstr>keiyakuid230</vt:lpstr>
      <vt:lpstr>keiyakuid231</vt:lpstr>
      <vt:lpstr>keiyakuid232</vt:lpstr>
      <vt:lpstr>keiyakuid233</vt:lpstr>
      <vt:lpstr>keiyakuid234</vt:lpstr>
      <vt:lpstr>keiyakuid235</vt:lpstr>
      <vt:lpstr>keiyakuid236</vt:lpstr>
      <vt:lpstr>keiyakuid237</vt:lpstr>
      <vt:lpstr>keiyakuid238</vt:lpstr>
      <vt:lpstr>keiyakuid239</vt:lpstr>
      <vt:lpstr>keiyakuid240</vt:lpstr>
      <vt:lpstr>keiyakuid241</vt:lpstr>
      <vt:lpstr>keiyakuid242</vt:lpstr>
      <vt:lpstr>keiyakuid243</vt:lpstr>
      <vt:lpstr>keiyakuid244</vt:lpstr>
      <vt:lpstr>keiyakuid245</vt:lpstr>
      <vt:lpstr>keiyakuid246</vt:lpstr>
      <vt:lpstr>keiyakuid247</vt:lpstr>
      <vt:lpstr>keiyakuid248</vt:lpstr>
      <vt:lpstr>keiyakuid249</vt:lpstr>
      <vt:lpstr>keiyakuid250</vt:lpstr>
      <vt:lpstr>meigiHenkou</vt:lpstr>
      <vt:lpstr>moushikubun001</vt:lpstr>
      <vt:lpstr>moushikubun002</vt:lpstr>
      <vt:lpstr>moushikubun003</vt:lpstr>
      <vt:lpstr>moushikubun004</vt:lpstr>
      <vt:lpstr>moushikubun005</vt:lpstr>
      <vt:lpstr>moushikubun006</vt:lpstr>
      <vt:lpstr>moushikubun007</vt:lpstr>
      <vt:lpstr>moushikubun008</vt:lpstr>
      <vt:lpstr>moushikubun009</vt:lpstr>
      <vt:lpstr>moushikubun010</vt:lpstr>
      <vt:lpstr>moushikubun011</vt:lpstr>
      <vt:lpstr>moushikubun012</vt:lpstr>
      <vt:lpstr>moushikubun013</vt:lpstr>
      <vt:lpstr>moushikubun014</vt:lpstr>
      <vt:lpstr>moushikubun015</vt:lpstr>
      <vt:lpstr>moushikubun016</vt:lpstr>
      <vt:lpstr>moushikubun017</vt:lpstr>
      <vt:lpstr>moushikubun018</vt:lpstr>
      <vt:lpstr>moushikubun019</vt:lpstr>
      <vt:lpstr>moushikubun020</vt:lpstr>
      <vt:lpstr>moushikubun021</vt:lpstr>
      <vt:lpstr>moushikubun022</vt:lpstr>
      <vt:lpstr>moushikubun023</vt:lpstr>
      <vt:lpstr>moushikubun024</vt:lpstr>
      <vt:lpstr>moushikubun025</vt:lpstr>
      <vt:lpstr>moushikubun026</vt:lpstr>
      <vt:lpstr>moushikubun027</vt:lpstr>
      <vt:lpstr>moushikubun028</vt:lpstr>
      <vt:lpstr>moushikubun029</vt:lpstr>
      <vt:lpstr>moushikubun030</vt:lpstr>
      <vt:lpstr>moushikubun031</vt:lpstr>
      <vt:lpstr>moushikubun032</vt:lpstr>
      <vt:lpstr>moushikubun033</vt:lpstr>
      <vt:lpstr>moushikubun034</vt:lpstr>
      <vt:lpstr>moushikubun035</vt:lpstr>
      <vt:lpstr>moushikubun036</vt:lpstr>
      <vt:lpstr>moushikubun037</vt:lpstr>
      <vt:lpstr>moushikubun038</vt:lpstr>
      <vt:lpstr>moushikubun039</vt:lpstr>
      <vt:lpstr>moushikubun040</vt:lpstr>
      <vt:lpstr>moushikubun041</vt:lpstr>
      <vt:lpstr>moushikubun042</vt:lpstr>
      <vt:lpstr>moushikubun043</vt:lpstr>
      <vt:lpstr>moushikubun044</vt:lpstr>
      <vt:lpstr>moushikubun045</vt:lpstr>
      <vt:lpstr>moushikubun046</vt:lpstr>
      <vt:lpstr>moushikubun047</vt:lpstr>
      <vt:lpstr>moushikubun048</vt:lpstr>
      <vt:lpstr>moushikubun049</vt:lpstr>
      <vt:lpstr>moushikubun050</vt:lpstr>
      <vt:lpstr>moushikubun051</vt:lpstr>
      <vt:lpstr>moushikubun052</vt:lpstr>
      <vt:lpstr>moushikubun053</vt:lpstr>
      <vt:lpstr>moushikubun054</vt:lpstr>
      <vt:lpstr>moushikubun055</vt:lpstr>
      <vt:lpstr>moushikubun056</vt:lpstr>
      <vt:lpstr>moushikubun057</vt:lpstr>
      <vt:lpstr>moushikubun058</vt:lpstr>
      <vt:lpstr>moushikubun059</vt:lpstr>
      <vt:lpstr>moushikubun060</vt:lpstr>
      <vt:lpstr>moushikubun061</vt:lpstr>
      <vt:lpstr>moushikubun062</vt:lpstr>
      <vt:lpstr>moushikubun063</vt:lpstr>
      <vt:lpstr>moushikubun064</vt:lpstr>
      <vt:lpstr>moushikubun065</vt:lpstr>
      <vt:lpstr>moushikubun066</vt:lpstr>
      <vt:lpstr>moushikubun067</vt:lpstr>
      <vt:lpstr>moushikubun068</vt:lpstr>
      <vt:lpstr>moushikubun069</vt:lpstr>
      <vt:lpstr>moushikubun070</vt:lpstr>
      <vt:lpstr>moushikubun071</vt:lpstr>
      <vt:lpstr>moushikubun072</vt:lpstr>
      <vt:lpstr>moushikubun073</vt:lpstr>
      <vt:lpstr>moushikubun074</vt:lpstr>
      <vt:lpstr>moushikubun075</vt:lpstr>
      <vt:lpstr>moushikubun076</vt:lpstr>
      <vt:lpstr>moushikubun077</vt:lpstr>
      <vt:lpstr>moushikubun078</vt:lpstr>
      <vt:lpstr>moushikubun079</vt:lpstr>
      <vt:lpstr>moushikubun080</vt:lpstr>
      <vt:lpstr>moushikubun081</vt:lpstr>
      <vt:lpstr>moushikubun082</vt:lpstr>
      <vt:lpstr>moushikubun083</vt:lpstr>
      <vt:lpstr>moushikubun084</vt:lpstr>
      <vt:lpstr>moushikubun085</vt:lpstr>
      <vt:lpstr>moushikubun086</vt:lpstr>
      <vt:lpstr>moushikubun087</vt:lpstr>
      <vt:lpstr>moushikubun088</vt:lpstr>
      <vt:lpstr>moushikubun089</vt:lpstr>
      <vt:lpstr>moushikubun090</vt:lpstr>
      <vt:lpstr>moushikubun091</vt:lpstr>
      <vt:lpstr>moushikubun092</vt:lpstr>
      <vt:lpstr>moushikubun093</vt:lpstr>
      <vt:lpstr>moushikubun094</vt:lpstr>
      <vt:lpstr>moushikubun095</vt:lpstr>
      <vt:lpstr>moushikubun096</vt:lpstr>
      <vt:lpstr>moushikubun097</vt:lpstr>
      <vt:lpstr>moushikubun098</vt:lpstr>
      <vt:lpstr>moushikubun099</vt:lpstr>
      <vt:lpstr>moushikubun100</vt:lpstr>
      <vt:lpstr>moushikubun101</vt:lpstr>
      <vt:lpstr>moushikubun102</vt:lpstr>
      <vt:lpstr>moushikubun103</vt:lpstr>
      <vt:lpstr>moushikubun104</vt:lpstr>
      <vt:lpstr>moushikubun105</vt:lpstr>
      <vt:lpstr>moushikubun106</vt:lpstr>
      <vt:lpstr>moushikubun107</vt:lpstr>
      <vt:lpstr>moushikubun108</vt:lpstr>
      <vt:lpstr>moushikubun109</vt:lpstr>
      <vt:lpstr>moushikubun110</vt:lpstr>
      <vt:lpstr>moushikubun111</vt:lpstr>
      <vt:lpstr>moushikubun112</vt:lpstr>
      <vt:lpstr>moushikubun113</vt:lpstr>
      <vt:lpstr>moushikubun114</vt:lpstr>
      <vt:lpstr>moushikubun115</vt:lpstr>
      <vt:lpstr>moushikubun116</vt:lpstr>
      <vt:lpstr>moushikubun117</vt:lpstr>
      <vt:lpstr>moushikubun118</vt:lpstr>
      <vt:lpstr>moushikubun119</vt:lpstr>
      <vt:lpstr>moushikubun120</vt:lpstr>
      <vt:lpstr>moushikubun121</vt:lpstr>
      <vt:lpstr>moushikubun122</vt:lpstr>
      <vt:lpstr>moushikubun123</vt:lpstr>
      <vt:lpstr>moushikubun124</vt:lpstr>
      <vt:lpstr>moushikubun125</vt:lpstr>
      <vt:lpstr>moushikubun126</vt:lpstr>
      <vt:lpstr>moushikubun127</vt:lpstr>
      <vt:lpstr>moushikubun128</vt:lpstr>
      <vt:lpstr>moushikubun129</vt:lpstr>
      <vt:lpstr>moushikubun130</vt:lpstr>
      <vt:lpstr>moushikubun131</vt:lpstr>
      <vt:lpstr>moushikubun132</vt:lpstr>
      <vt:lpstr>moushikubun133</vt:lpstr>
      <vt:lpstr>moushikubun134</vt:lpstr>
      <vt:lpstr>moushikubun135</vt:lpstr>
      <vt:lpstr>moushikubun136</vt:lpstr>
      <vt:lpstr>moushikubun137</vt:lpstr>
      <vt:lpstr>moushikubun138</vt:lpstr>
      <vt:lpstr>moushikubun139</vt:lpstr>
      <vt:lpstr>moushikubun140</vt:lpstr>
      <vt:lpstr>moushikubun141</vt:lpstr>
      <vt:lpstr>moushikubun142</vt:lpstr>
      <vt:lpstr>moushikubun143</vt:lpstr>
      <vt:lpstr>moushikubun144</vt:lpstr>
      <vt:lpstr>moushikubun145</vt:lpstr>
      <vt:lpstr>moushikubun146</vt:lpstr>
      <vt:lpstr>moushikubun147</vt:lpstr>
      <vt:lpstr>moushikubun148</vt:lpstr>
      <vt:lpstr>moushikubun149</vt:lpstr>
      <vt:lpstr>moushikubun150</vt:lpstr>
      <vt:lpstr>moushikubun151</vt:lpstr>
      <vt:lpstr>moushikubun152</vt:lpstr>
      <vt:lpstr>moushikubun153</vt:lpstr>
      <vt:lpstr>moushikubun154</vt:lpstr>
      <vt:lpstr>moushikubun155</vt:lpstr>
      <vt:lpstr>moushikubun156</vt:lpstr>
      <vt:lpstr>moushikubun157</vt:lpstr>
      <vt:lpstr>moushikubun158</vt:lpstr>
      <vt:lpstr>moushikubun159</vt:lpstr>
      <vt:lpstr>moushikubun160</vt:lpstr>
      <vt:lpstr>moushikubun161</vt:lpstr>
      <vt:lpstr>moushikubun162</vt:lpstr>
      <vt:lpstr>moushikubun163</vt:lpstr>
      <vt:lpstr>moushikubun164</vt:lpstr>
      <vt:lpstr>moushikubun165</vt:lpstr>
      <vt:lpstr>moushikubun166</vt:lpstr>
      <vt:lpstr>moushikubun167</vt:lpstr>
      <vt:lpstr>moushikubun168</vt:lpstr>
      <vt:lpstr>moushikubun169</vt:lpstr>
      <vt:lpstr>moushikubun170</vt:lpstr>
      <vt:lpstr>moushikubun171</vt:lpstr>
      <vt:lpstr>moushikubun172</vt:lpstr>
      <vt:lpstr>moushikubun173</vt:lpstr>
      <vt:lpstr>moushikubun174</vt:lpstr>
      <vt:lpstr>moushikubun175</vt:lpstr>
      <vt:lpstr>moushikubun176</vt:lpstr>
      <vt:lpstr>moushikubun177</vt:lpstr>
      <vt:lpstr>moushikubun178</vt:lpstr>
      <vt:lpstr>moushikubun179</vt:lpstr>
      <vt:lpstr>moushikubun180</vt:lpstr>
      <vt:lpstr>moushikubun181</vt:lpstr>
      <vt:lpstr>moushikubun182</vt:lpstr>
      <vt:lpstr>moushikubun183</vt:lpstr>
      <vt:lpstr>moushikubun184</vt:lpstr>
      <vt:lpstr>moushikubun185</vt:lpstr>
      <vt:lpstr>moushikubun186</vt:lpstr>
      <vt:lpstr>moushikubun187</vt:lpstr>
      <vt:lpstr>moushikubun188</vt:lpstr>
      <vt:lpstr>moushikubun189</vt:lpstr>
      <vt:lpstr>moushikubun190</vt:lpstr>
      <vt:lpstr>moushikubun191</vt:lpstr>
      <vt:lpstr>moushikubun192</vt:lpstr>
      <vt:lpstr>moushikubun193</vt:lpstr>
      <vt:lpstr>moushikubun194</vt:lpstr>
      <vt:lpstr>moushikubun195</vt:lpstr>
      <vt:lpstr>moushikubun196</vt:lpstr>
      <vt:lpstr>moushikubun197</vt:lpstr>
      <vt:lpstr>moushikubun198</vt:lpstr>
      <vt:lpstr>moushikubun199</vt:lpstr>
      <vt:lpstr>moushikubun200</vt:lpstr>
      <vt:lpstr>moushikubun201</vt:lpstr>
      <vt:lpstr>moushikubun202</vt:lpstr>
      <vt:lpstr>moushikubun203</vt:lpstr>
      <vt:lpstr>moushikubun204</vt:lpstr>
      <vt:lpstr>moushikubun205</vt:lpstr>
      <vt:lpstr>moushikubun206</vt:lpstr>
      <vt:lpstr>moushikubun207</vt:lpstr>
      <vt:lpstr>moushikubun208</vt:lpstr>
      <vt:lpstr>moushikubun209</vt:lpstr>
      <vt:lpstr>moushikubun210</vt:lpstr>
      <vt:lpstr>moushikubun211</vt:lpstr>
      <vt:lpstr>moushikubun212</vt:lpstr>
      <vt:lpstr>moushikubun213</vt:lpstr>
      <vt:lpstr>moushikubun214</vt:lpstr>
      <vt:lpstr>moushikubun215</vt:lpstr>
      <vt:lpstr>moushikubun216</vt:lpstr>
      <vt:lpstr>moushikubun217</vt:lpstr>
      <vt:lpstr>moushikubun218</vt:lpstr>
      <vt:lpstr>moushikubun219</vt:lpstr>
      <vt:lpstr>moushikubun220</vt:lpstr>
      <vt:lpstr>moushikubun221</vt:lpstr>
      <vt:lpstr>moushikubun222</vt:lpstr>
      <vt:lpstr>moushikubun223</vt:lpstr>
      <vt:lpstr>moushikubun224</vt:lpstr>
      <vt:lpstr>moushikubun225</vt:lpstr>
      <vt:lpstr>moushikubun226</vt:lpstr>
      <vt:lpstr>moushikubun227</vt:lpstr>
      <vt:lpstr>moushikubun228</vt:lpstr>
      <vt:lpstr>moushikubun229</vt:lpstr>
      <vt:lpstr>moushikubun230</vt:lpstr>
      <vt:lpstr>moushikubun231</vt:lpstr>
      <vt:lpstr>moushikubun232</vt:lpstr>
      <vt:lpstr>moushikubun233</vt:lpstr>
      <vt:lpstr>moushikubun234</vt:lpstr>
      <vt:lpstr>moushikubun235</vt:lpstr>
      <vt:lpstr>moushikubun236</vt:lpstr>
      <vt:lpstr>moushikubun237</vt:lpstr>
      <vt:lpstr>moushikubun238</vt:lpstr>
      <vt:lpstr>moushikubun239</vt:lpstr>
      <vt:lpstr>moushikubun240</vt:lpstr>
      <vt:lpstr>moushikubun241</vt:lpstr>
      <vt:lpstr>moushikubun242</vt:lpstr>
      <vt:lpstr>moushikubun243</vt:lpstr>
      <vt:lpstr>moushikubun244</vt:lpstr>
      <vt:lpstr>moushikubun245</vt:lpstr>
      <vt:lpstr>moushikubun246</vt:lpstr>
      <vt:lpstr>moushikubun247</vt:lpstr>
      <vt:lpstr>moushikubun248</vt:lpstr>
      <vt:lpstr>moushikubun249</vt:lpstr>
      <vt:lpstr>moushikubun250</vt:lpstr>
      <vt:lpstr>newbillingStationCustomerNumber</vt:lpstr>
      <vt:lpstr>newbillingStationCustomerNumberOnly</vt:lpstr>
      <vt:lpstr>oldbillingStationCustomerNumber</vt:lpstr>
      <vt:lpstr>oldbillingStationCustomerNumberOnly</vt:lpstr>
      <vt:lpstr>付替お申込書!Print_Area</vt:lpstr>
      <vt:lpstr>salesChannelDeptName</vt:lpstr>
      <vt:lpstr>salesChannelMailAddress</vt:lpstr>
      <vt:lpstr>salesChannelPersonName</vt:lpstr>
      <vt:lpstr>salesChannelPhoneNumber</vt:lpstr>
      <vt:lpstr>shubetsu001</vt:lpstr>
      <vt:lpstr>shubetsu002</vt:lpstr>
      <vt:lpstr>shubetsu003</vt:lpstr>
      <vt:lpstr>shubetsu004</vt:lpstr>
      <vt:lpstr>shubetsu005</vt:lpstr>
      <vt:lpstr>shubetsu006</vt:lpstr>
      <vt:lpstr>shubetsu007</vt:lpstr>
      <vt:lpstr>shubetsu008</vt:lpstr>
      <vt:lpstr>shubetsu009</vt:lpstr>
      <vt:lpstr>shubetsu010</vt:lpstr>
      <vt:lpstr>shubetsu011</vt:lpstr>
      <vt:lpstr>shubetsu012</vt:lpstr>
      <vt:lpstr>shubetsu013</vt:lpstr>
      <vt:lpstr>shubetsu014</vt:lpstr>
      <vt:lpstr>shubetsu015</vt:lpstr>
      <vt:lpstr>shubetsu016</vt:lpstr>
      <vt:lpstr>shubetsu017</vt:lpstr>
      <vt:lpstr>shubetsu018</vt:lpstr>
      <vt:lpstr>shubetsu019</vt:lpstr>
      <vt:lpstr>shubetsu020</vt:lpstr>
      <vt:lpstr>shubetsu021</vt:lpstr>
      <vt:lpstr>shubetsu022</vt:lpstr>
      <vt:lpstr>shubetsu023</vt:lpstr>
      <vt:lpstr>shubetsu024</vt:lpstr>
      <vt:lpstr>shubetsu025</vt:lpstr>
      <vt:lpstr>shubetsu026</vt:lpstr>
      <vt:lpstr>shubetsu027</vt:lpstr>
      <vt:lpstr>shubetsu028</vt:lpstr>
      <vt:lpstr>shubetsu029</vt:lpstr>
      <vt:lpstr>shubetsu030</vt:lpstr>
      <vt:lpstr>shubetsu031</vt:lpstr>
      <vt:lpstr>shubetsu032</vt:lpstr>
      <vt:lpstr>shubetsu033</vt:lpstr>
      <vt:lpstr>shubetsu034</vt:lpstr>
      <vt:lpstr>shubetsu035</vt:lpstr>
      <vt:lpstr>shubetsu036</vt:lpstr>
      <vt:lpstr>shubetsu037</vt:lpstr>
      <vt:lpstr>shubetsu038</vt:lpstr>
      <vt:lpstr>shubetsu039</vt:lpstr>
      <vt:lpstr>shubetsu040</vt:lpstr>
      <vt:lpstr>shubetsu041</vt:lpstr>
      <vt:lpstr>shubetsu042</vt:lpstr>
      <vt:lpstr>shubetsu043</vt:lpstr>
      <vt:lpstr>shubetsu044</vt:lpstr>
      <vt:lpstr>shubetsu045</vt:lpstr>
      <vt:lpstr>shubetsu046</vt:lpstr>
      <vt:lpstr>shubetsu047</vt:lpstr>
      <vt:lpstr>shubetsu048</vt:lpstr>
      <vt:lpstr>shubetsu049</vt:lpstr>
      <vt:lpstr>shubetsu050</vt:lpstr>
      <vt:lpstr>shubetsu051</vt:lpstr>
      <vt:lpstr>shubetsu052</vt:lpstr>
      <vt:lpstr>shubetsu053</vt:lpstr>
      <vt:lpstr>shubetsu054</vt:lpstr>
      <vt:lpstr>shubetsu055</vt:lpstr>
      <vt:lpstr>shubetsu056</vt:lpstr>
      <vt:lpstr>shubetsu057</vt:lpstr>
      <vt:lpstr>shubetsu058</vt:lpstr>
      <vt:lpstr>shubetsu059</vt:lpstr>
      <vt:lpstr>shubetsu060</vt:lpstr>
      <vt:lpstr>shubetsu061</vt:lpstr>
      <vt:lpstr>shubetsu062</vt:lpstr>
      <vt:lpstr>shubetsu063</vt:lpstr>
      <vt:lpstr>shubetsu064</vt:lpstr>
      <vt:lpstr>shubetsu065</vt:lpstr>
      <vt:lpstr>shubetsu066</vt:lpstr>
      <vt:lpstr>shubetsu067</vt:lpstr>
      <vt:lpstr>shubetsu068</vt:lpstr>
      <vt:lpstr>shubetsu069</vt:lpstr>
      <vt:lpstr>shubetsu070</vt:lpstr>
      <vt:lpstr>shubetsu071</vt:lpstr>
      <vt:lpstr>shubetsu072</vt:lpstr>
      <vt:lpstr>shubetsu073</vt:lpstr>
      <vt:lpstr>shubetsu074</vt:lpstr>
      <vt:lpstr>shubetsu075</vt:lpstr>
      <vt:lpstr>shubetsu076</vt:lpstr>
      <vt:lpstr>shubetsu077</vt:lpstr>
      <vt:lpstr>shubetsu078</vt:lpstr>
      <vt:lpstr>shubetsu079</vt:lpstr>
      <vt:lpstr>shubetsu080</vt:lpstr>
      <vt:lpstr>shubetsu081</vt:lpstr>
      <vt:lpstr>shubetsu082</vt:lpstr>
      <vt:lpstr>shubetsu083</vt:lpstr>
      <vt:lpstr>shubetsu084</vt:lpstr>
      <vt:lpstr>shubetsu085</vt:lpstr>
      <vt:lpstr>shubetsu086</vt:lpstr>
      <vt:lpstr>shubetsu087</vt:lpstr>
      <vt:lpstr>shubetsu088</vt:lpstr>
      <vt:lpstr>shubetsu089</vt:lpstr>
      <vt:lpstr>shubetsu090</vt:lpstr>
      <vt:lpstr>shubetsu091</vt:lpstr>
      <vt:lpstr>shubetsu092</vt:lpstr>
      <vt:lpstr>shubetsu093</vt:lpstr>
      <vt:lpstr>shubetsu094</vt:lpstr>
      <vt:lpstr>shubetsu095</vt:lpstr>
      <vt:lpstr>shubetsu096</vt:lpstr>
      <vt:lpstr>shubetsu097</vt:lpstr>
      <vt:lpstr>shubetsu098</vt:lpstr>
      <vt:lpstr>shubetsu099</vt:lpstr>
      <vt:lpstr>shubetsu100</vt:lpstr>
      <vt:lpstr>shubetsu101</vt:lpstr>
      <vt:lpstr>shubetsu102</vt:lpstr>
      <vt:lpstr>shubetsu103</vt:lpstr>
      <vt:lpstr>shubetsu104</vt:lpstr>
      <vt:lpstr>shubetsu105</vt:lpstr>
      <vt:lpstr>shubetsu106</vt:lpstr>
      <vt:lpstr>shubetsu107</vt:lpstr>
      <vt:lpstr>shubetsu108</vt:lpstr>
      <vt:lpstr>shubetsu109</vt:lpstr>
      <vt:lpstr>shubetsu110</vt:lpstr>
      <vt:lpstr>shubetsu111</vt:lpstr>
      <vt:lpstr>shubetsu112</vt:lpstr>
      <vt:lpstr>shubetsu113</vt:lpstr>
      <vt:lpstr>shubetsu114</vt:lpstr>
      <vt:lpstr>shubetsu115</vt:lpstr>
      <vt:lpstr>shubetsu116</vt:lpstr>
      <vt:lpstr>shubetsu117</vt:lpstr>
      <vt:lpstr>shubetsu118</vt:lpstr>
      <vt:lpstr>shubetsu119</vt:lpstr>
      <vt:lpstr>shubetsu120</vt:lpstr>
      <vt:lpstr>shubetsu121</vt:lpstr>
      <vt:lpstr>shubetsu122</vt:lpstr>
      <vt:lpstr>shubetsu123</vt:lpstr>
      <vt:lpstr>shubetsu124</vt:lpstr>
      <vt:lpstr>shubetsu125</vt:lpstr>
      <vt:lpstr>shubetsu126</vt:lpstr>
      <vt:lpstr>shubetsu127</vt:lpstr>
      <vt:lpstr>shubetsu128</vt:lpstr>
      <vt:lpstr>shubetsu129</vt:lpstr>
      <vt:lpstr>shubetsu130</vt:lpstr>
      <vt:lpstr>shubetsu131</vt:lpstr>
      <vt:lpstr>shubetsu132</vt:lpstr>
      <vt:lpstr>shubetsu133</vt:lpstr>
      <vt:lpstr>shubetsu134</vt:lpstr>
      <vt:lpstr>shubetsu135</vt:lpstr>
      <vt:lpstr>shubetsu136</vt:lpstr>
      <vt:lpstr>shubetsu137</vt:lpstr>
      <vt:lpstr>shubetsu138</vt:lpstr>
      <vt:lpstr>shubetsu139</vt:lpstr>
      <vt:lpstr>shubetsu140</vt:lpstr>
      <vt:lpstr>shubetsu141</vt:lpstr>
      <vt:lpstr>shubetsu142</vt:lpstr>
      <vt:lpstr>shubetsu143</vt:lpstr>
      <vt:lpstr>shubetsu144</vt:lpstr>
      <vt:lpstr>shubetsu145</vt:lpstr>
      <vt:lpstr>shubetsu146</vt:lpstr>
      <vt:lpstr>shubetsu147</vt:lpstr>
      <vt:lpstr>shubetsu148</vt:lpstr>
      <vt:lpstr>shubetsu149</vt:lpstr>
      <vt:lpstr>shubetsu150</vt:lpstr>
      <vt:lpstr>shubetsu151</vt:lpstr>
      <vt:lpstr>shubetsu152</vt:lpstr>
      <vt:lpstr>shubetsu153</vt:lpstr>
      <vt:lpstr>shubetsu154</vt:lpstr>
      <vt:lpstr>shubetsu155</vt:lpstr>
      <vt:lpstr>shubetsu156</vt:lpstr>
      <vt:lpstr>shubetsu157</vt:lpstr>
      <vt:lpstr>shubetsu158</vt:lpstr>
      <vt:lpstr>shubetsu159</vt:lpstr>
      <vt:lpstr>shubetsu160</vt:lpstr>
      <vt:lpstr>shubetsu161</vt:lpstr>
      <vt:lpstr>shubetsu162</vt:lpstr>
      <vt:lpstr>shubetsu163</vt:lpstr>
      <vt:lpstr>shubetsu164</vt:lpstr>
      <vt:lpstr>shubetsu165</vt:lpstr>
      <vt:lpstr>shubetsu166</vt:lpstr>
      <vt:lpstr>shubetsu167</vt:lpstr>
      <vt:lpstr>shubetsu168</vt:lpstr>
      <vt:lpstr>shubetsu169</vt:lpstr>
      <vt:lpstr>shubetsu170</vt:lpstr>
      <vt:lpstr>shubetsu171</vt:lpstr>
      <vt:lpstr>shubetsu172</vt:lpstr>
      <vt:lpstr>shubetsu173</vt:lpstr>
      <vt:lpstr>shubetsu174</vt:lpstr>
      <vt:lpstr>shubetsu175</vt:lpstr>
      <vt:lpstr>shubetsu176</vt:lpstr>
      <vt:lpstr>shubetsu177</vt:lpstr>
      <vt:lpstr>shubetsu178</vt:lpstr>
      <vt:lpstr>shubetsu179</vt:lpstr>
      <vt:lpstr>shubetsu180</vt:lpstr>
      <vt:lpstr>shubetsu181</vt:lpstr>
      <vt:lpstr>shubetsu182</vt:lpstr>
      <vt:lpstr>shubetsu183</vt:lpstr>
      <vt:lpstr>shubetsu184</vt:lpstr>
      <vt:lpstr>shubetsu185</vt:lpstr>
      <vt:lpstr>shubetsu186</vt:lpstr>
      <vt:lpstr>shubetsu187</vt:lpstr>
      <vt:lpstr>shubetsu188</vt:lpstr>
      <vt:lpstr>shubetsu189</vt:lpstr>
      <vt:lpstr>shubetsu190</vt:lpstr>
      <vt:lpstr>shubetsu191</vt:lpstr>
      <vt:lpstr>shubetsu192</vt:lpstr>
      <vt:lpstr>shubetsu193</vt:lpstr>
      <vt:lpstr>shubetsu194</vt:lpstr>
      <vt:lpstr>shubetsu195</vt:lpstr>
      <vt:lpstr>shubetsu196</vt:lpstr>
      <vt:lpstr>shubetsu197</vt:lpstr>
      <vt:lpstr>shubetsu198</vt:lpstr>
      <vt:lpstr>shubetsu199</vt:lpstr>
      <vt:lpstr>shubetsu200</vt:lpstr>
      <vt:lpstr>shubetsu201</vt:lpstr>
      <vt:lpstr>shubetsu202</vt:lpstr>
      <vt:lpstr>shubetsu203</vt:lpstr>
      <vt:lpstr>shubetsu204</vt:lpstr>
      <vt:lpstr>shubetsu205</vt:lpstr>
      <vt:lpstr>shubetsu206</vt:lpstr>
      <vt:lpstr>shubetsu207</vt:lpstr>
      <vt:lpstr>shubetsu208</vt:lpstr>
      <vt:lpstr>shubetsu209</vt:lpstr>
      <vt:lpstr>shubetsu210</vt:lpstr>
      <vt:lpstr>shubetsu211</vt:lpstr>
      <vt:lpstr>shubetsu212</vt:lpstr>
      <vt:lpstr>shubetsu213</vt:lpstr>
      <vt:lpstr>shubetsu214</vt:lpstr>
      <vt:lpstr>shubetsu215</vt:lpstr>
      <vt:lpstr>shubetsu216</vt:lpstr>
      <vt:lpstr>shubetsu217</vt:lpstr>
      <vt:lpstr>shubetsu218</vt:lpstr>
      <vt:lpstr>shubetsu219</vt:lpstr>
      <vt:lpstr>shubetsu220</vt:lpstr>
      <vt:lpstr>shubetsu221</vt:lpstr>
      <vt:lpstr>shubetsu222</vt:lpstr>
      <vt:lpstr>shubetsu223</vt:lpstr>
      <vt:lpstr>shubetsu224</vt:lpstr>
      <vt:lpstr>shubetsu225</vt:lpstr>
      <vt:lpstr>shubetsu226</vt:lpstr>
      <vt:lpstr>shubetsu227</vt:lpstr>
      <vt:lpstr>shubetsu228</vt:lpstr>
      <vt:lpstr>shubetsu229</vt:lpstr>
      <vt:lpstr>shubetsu230</vt:lpstr>
      <vt:lpstr>shubetsu231</vt:lpstr>
      <vt:lpstr>shubetsu232</vt:lpstr>
      <vt:lpstr>shubetsu233</vt:lpstr>
      <vt:lpstr>shubetsu234</vt:lpstr>
      <vt:lpstr>shubetsu235</vt:lpstr>
      <vt:lpstr>shubetsu236</vt:lpstr>
      <vt:lpstr>shubetsu237</vt:lpstr>
      <vt:lpstr>shubetsu238</vt:lpstr>
      <vt:lpstr>shubetsu239</vt:lpstr>
      <vt:lpstr>shubetsu240</vt:lpstr>
      <vt:lpstr>shubetsu241</vt:lpstr>
      <vt:lpstr>shubetsu242</vt:lpstr>
      <vt:lpstr>shubetsu243</vt:lpstr>
      <vt:lpstr>shubetsu244</vt:lpstr>
      <vt:lpstr>shubetsu245</vt:lpstr>
      <vt:lpstr>shubetsu246</vt:lpstr>
      <vt:lpstr>shubetsu247</vt:lpstr>
      <vt:lpstr>shubetsu248</vt:lpstr>
      <vt:lpstr>shubetsu249</vt:lpstr>
      <vt:lpstr>shubetsu250</vt:lpstr>
      <vt:lpstr>shutoku001</vt:lpstr>
      <vt:lpstr>shutoku002</vt:lpstr>
      <vt:lpstr>shutoku003</vt:lpstr>
      <vt:lpstr>shutoku004</vt:lpstr>
      <vt:lpstr>shutoku005</vt:lpstr>
      <vt:lpstr>shutoku006</vt:lpstr>
      <vt:lpstr>shutoku007</vt:lpstr>
      <vt:lpstr>shutoku008</vt:lpstr>
      <vt:lpstr>shutoku009</vt:lpstr>
      <vt:lpstr>shutoku010</vt:lpstr>
      <vt:lpstr>shutoku011</vt:lpstr>
      <vt:lpstr>shutoku012</vt:lpstr>
      <vt:lpstr>shutoku013</vt:lpstr>
      <vt:lpstr>shutoku014</vt:lpstr>
      <vt:lpstr>shutoku015</vt:lpstr>
      <vt:lpstr>shutoku016</vt:lpstr>
      <vt:lpstr>shutoku017</vt:lpstr>
      <vt:lpstr>shutoku018</vt:lpstr>
      <vt:lpstr>shutoku019</vt:lpstr>
      <vt:lpstr>shutoku020</vt:lpstr>
      <vt:lpstr>shutoku021</vt:lpstr>
      <vt:lpstr>shutoku022</vt:lpstr>
      <vt:lpstr>shutoku023</vt:lpstr>
      <vt:lpstr>shutoku024</vt:lpstr>
      <vt:lpstr>shutoku025</vt:lpstr>
      <vt:lpstr>shutoku026</vt:lpstr>
      <vt:lpstr>shutoku027</vt:lpstr>
      <vt:lpstr>shutoku028</vt:lpstr>
      <vt:lpstr>shutoku029</vt:lpstr>
      <vt:lpstr>shutoku030</vt:lpstr>
      <vt:lpstr>shutoku031</vt:lpstr>
      <vt:lpstr>shutoku032</vt:lpstr>
      <vt:lpstr>shutoku033</vt:lpstr>
      <vt:lpstr>shutoku034</vt:lpstr>
      <vt:lpstr>shutoku035</vt:lpstr>
      <vt:lpstr>shutoku036</vt:lpstr>
      <vt:lpstr>shutoku037</vt:lpstr>
      <vt:lpstr>shutoku038</vt:lpstr>
      <vt:lpstr>shutoku039</vt:lpstr>
      <vt:lpstr>shutoku040</vt:lpstr>
      <vt:lpstr>shutoku041</vt:lpstr>
      <vt:lpstr>shutoku042</vt:lpstr>
      <vt:lpstr>shutoku043</vt:lpstr>
      <vt:lpstr>shutoku044</vt:lpstr>
      <vt:lpstr>shutoku045</vt:lpstr>
      <vt:lpstr>shutoku046</vt:lpstr>
      <vt:lpstr>shutoku047</vt:lpstr>
      <vt:lpstr>shutoku048</vt:lpstr>
      <vt:lpstr>shutoku049</vt:lpstr>
      <vt:lpstr>shutoku050</vt:lpstr>
      <vt:lpstr>shutoku051</vt:lpstr>
      <vt:lpstr>shutoku052</vt:lpstr>
      <vt:lpstr>shutoku053</vt:lpstr>
      <vt:lpstr>shutoku054</vt:lpstr>
      <vt:lpstr>shutoku055</vt:lpstr>
      <vt:lpstr>shutoku056</vt:lpstr>
      <vt:lpstr>shutoku057</vt:lpstr>
      <vt:lpstr>shutoku058</vt:lpstr>
      <vt:lpstr>shutoku059</vt:lpstr>
      <vt:lpstr>shutoku060</vt:lpstr>
      <vt:lpstr>shutoku061</vt:lpstr>
      <vt:lpstr>shutoku062</vt:lpstr>
      <vt:lpstr>shutoku063</vt:lpstr>
      <vt:lpstr>shutoku064</vt:lpstr>
      <vt:lpstr>shutoku065</vt:lpstr>
      <vt:lpstr>shutoku066</vt:lpstr>
      <vt:lpstr>shutoku067</vt:lpstr>
      <vt:lpstr>shutoku068</vt:lpstr>
      <vt:lpstr>shutoku069</vt:lpstr>
      <vt:lpstr>shutoku070</vt:lpstr>
      <vt:lpstr>shutoku071</vt:lpstr>
      <vt:lpstr>shutoku072</vt:lpstr>
      <vt:lpstr>shutoku073</vt:lpstr>
      <vt:lpstr>shutoku074</vt:lpstr>
      <vt:lpstr>shutoku075</vt:lpstr>
      <vt:lpstr>shutoku076</vt:lpstr>
      <vt:lpstr>shutoku077</vt:lpstr>
      <vt:lpstr>shutoku078</vt:lpstr>
      <vt:lpstr>shutoku079</vt:lpstr>
      <vt:lpstr>shutoku080</vt:lpstr>
      <vt:lpstr>shutoku081</vt:lpstr>
      <vt:lpstr>shutoku082</vt:lpstr>
      <vt:lpstr>shutoku083</vt:lpstr>
      <vt:lpstr>shutoku084</vt:lpstr>
      <vt:lpstr>shutoku085</vt:lpstr>
      <vt:lpstr>shutoku086</vt:lpstr>
      <vt:lpstr>shutoku087</vt:lpstr>
      <vt:lpstr>shutoku088</vt:lpstr>
      <vt:lpstr>shutoku089</vt:lpstr>
      <vt:lpstr>shutoku090</vt:lpstr>
      <vt:lpstr>shutoku091</vt:lpstr>
      <vt:lpstr>shutoku092</vt:lpstr>
      <vt:lpstr>shutoku093</vt:lpstr>
      <vt:lpstr>shutoku094</vt:lpstr>
      <vt:lpstr>shutoku095</vt:lpstr>
      <vt:lpstr>shutoku096</vt:lpstr>
      <vt:lpstr>shutoku097</vt:lpstr>
      <vt:lpstr>shutoku098</vt:lpstr>
      <vt:lpstr>shutoku099</vt:lpstr>
      <vt:lpstr>shutoku100</vt:lpstr>
      <vt:lpstr>shutoku101</vt:lpstr>
      <vt:lpstr>shutoku102</vt:lpstr>
      <vt:lpstr>shutoku103</vt:lpstr>
      <vt:lpstr>shutoku104</vt:lpstr>
      <vt:lpstr>shutoku105</vt:lpstr>
      <vt:lpstr>shutoku106</vt:lpstr>
      <vt:lpstr>shutoku107</vt:lpstr>
      <vt:lpstr>shutoku108</vt:lpstr>
      <vt:lpstr>shutoku109</vt:lpstr>
      <vt:lpstr>shutoku110</vt:lpstr>
      <vt:lpstr>shutoku111</vt:lpstr>
      <vt:lpstr>shutoku112</vt:lpstr>
      <vt:lpstr>shutoku113</vt:lpstr>
      <vt:lpstr>shutoku114</vt:lpstr>
      <vt:lpstr>shutoku115</vt:lpstr>
      <vt:lpstr>shutoku116</vt:lpstr>
      <vt:lpstr>shutoku117</vt:lpstr>
      <vt:lpstr>shutoku118</vt:lpstr>
      <vt:lpstr>shutoku119</vt:lpstr>
      <vt:lpstr>shutoku120</vt:lpstr>
      <vt:lpstr>shutoku121</vt:lpstr>
      <vt:lpstr>shutoku122</vt:lpstr>
      <vt:lpstr>shutoku123</vt:lpstr>
      <vt:lpstr>shutoku124</vt:lpstr>
      <vt:lpstr>shutoku125</vt:lpstr>
      <vt:lpstr>shutoku126</vt:lpstr>
      <vt:lpstr>shutoku127</vt:lpstr>
      <vt:lpstr>shutoku128</vt:lpstr>
      <vt:lpstr>shutoku129</vt:lpstr>
      <vt:lpstr>shutoku130</vt:lpstr>
      <vt:lpstr>shutoku131</vt:lpstr>
      <vt:lpstr>shutoku132</vt:lpstr>
      <vt:lpstr>shutoku133</vt:lpstr>
      <vt:lpstr>shutoku134</vt:lpstr>
      <vt:lpstr>shutoku135</vt:lpstr>
      <vt:lpstr>shutoku136</vt:lpstr>
      <vt:lpstr>shutoku137</vt:lpstr>
      <vt:lpstr>shutoku138</vt:lpstr>
      <vt:lpstr>shutoku139</vt:lpstr>
      <vt:lpstr>shutoku140</vt:lpstr>
      <vt:lpstr>shutoku141</vt:lpstr>
      <vt:lpstr>shutoku142</vt:lpstr>
      <vt:lpstr>shutoku143</vt:lpstr>
      <vt:lpstr>shutoku144</vt:lpstr>
      <vt:lpstr>shutoku145</vt:lpstr>
      <vt:lpstr>shutoku146</vt:lpstr>
      <vt:lpstr>shutoku147</vt:lpstr>
      <vt:lpstr>shutoku148</vt:lpstr>
      <vt:lpstr>shutoku149</vt:lpstr>
      <vt:lpstr>shutoku150</vt:lpstr>
      <vt:lpstr>shutoku151</vt:lpstr>
      <vt:lpstr>shutoku152</vt:lpstr>
      <vt:lpstr>shutoku153</vt:lpstr>
      <vt:lpstr>shutoku154</vt:lpstr>
      <vt:lpstr>shutoku155</vt:lpstr>
      <vt:lpstr>shutoku156</vt:lpstr>
      <vt:lpstr>shutoku157</vt:lpstr>
      <vt:lpstr>shutoku158</vt:lpstr>
      <vt:lpstr>shutoku159</vt:lpstr>
      <vt:lpstr>shutoku160</vt:lpstr>
      <vt:lpstr>shutoku161</vt:lpstr>
      <vt:lpstr>shutoku162</vt:lpstr>
      <vt:lpstr>shutoku163</vt:lpstr>
      <vt:lpstr>shutoku164</vt:lpstr>
      <vt:lpstr>shutoku165</vt:lpstr>
      <vt:lpstr>shutoku166</vt:lpstr>
      <vt:lpstr>shutoku167</vt:lpstr>
      <vt:lpstr>shutoku168</vt:lpstr>
      <vt:lpstr>shutoku169</vt:lpstr>
      <vt:lpstr>shutoku170</vt:lpstr>
      <vt:lpstr>shutoku171</vt:lpstr>
      <vt:lpstr>shutoku172</vt:lpstr>
      <vt:lpstr>shutoku173</vt:lpstr>
      <vt:lpstr>shutoku174</vt:lpstr>
      <vt:lpstr>shutoku175</vt:lpstr>
      <vt:lpstr>shutoku176</vt:lpstr>
      <vt:lpstr>shutoku177</vt:lpstr>
      <vt:lpstr>shutoku178</vt:lpstr>
      <vt:lpstr>shutoku179</vt:lpstr>
      <vt:lpstr>shutoku180</vt:lpstr>
      <vt:lpstr>shutoku181</vt:lpstr>
      <vt:lpstr>shutoku182</vt:lpstr>
      <vt:lpstr>shutoku183</vt:lpstr>
      <vt:lpstr>shutoku184</vt:lpstr>
      <vt:lpstr>shutoku185</vt:lpstr>
      <vt:lpstr>shutoku186</vt:lpstr>
      <vt:lpstr>shutoku187</vt:lpstr>
      <vt:lpstr>shutoku188</vt:lpstr>
      <vt:lpstr>shutoku189</vt:lpstr>
      <vt:lpstr>shutoku190</vt:lpstr>
      <vt:lpstr>shutoku191</vt:lpstr>
      <vt:lpstr>shutoku192</vt:lpstr>
      <vt:lpstr>shutoku193</vt:lpstr>
      <vt:lpstr>shutoku194</vt:lpstr>
      <vt:lpstr>shutoku195</vt:lpstr>
      <vt:lpstr>shutoku196</vt:lpstr>
      <vt:lpstr>shutoku197</vt:lpstr>
      <vt:lpstr>shutoku198</vt:lpstr>
      <vt:lpstr>shutoku199</vt:lpstr>
      <vt:lpstr>shutoku200</vt:lpstr>
      <vt:lpstr>shutoku201</vt:lpstr>
      <vt:lpstr>shutoku202</vt:lpstr>
      <vt:lpstr>shutoku203</vt:lpstr>
      <vt:lpstr>shutoku204</vt:lpstr>
      <vt:lpstr>shutoku205</vt:lpstr>
      <vt:lpstr>shutoku206</vt:lpstr>
      <vt:lpstr>shutoku207</vt:lpstr>
      <vt:lpstr>shutoku208</vt:lpstr>
      <vt:lpstr>shutoku209</vt:lpstr>
      <vt:lpstr>shutoku210</vt:lpstr>
      <vt:lpstr>shutoku211</vt:lpstr>
      <vt:lpstr>shutoku212</vt:lpstr>
      <vt:lpstr>shutoku213</vt:lpstr>
      <vt:lpstr>shutoku214</vt:lpstr>
      <vt:lpstr>shutoku215</vt:lpstr>
      <vt:lpstr>shutoku216</vt:lpstr>
      <vt:lpstr>shutoku217</vt:lpstr>
      <vt:lpstr>shutoku218</vt:lpstr>
      <vt:lpstr>shutoku219</vt:lpstr>
      <vt:lpstr>shutoku220</vt:lpstr>
      <vt:lpstr>shutoku221</vt:lpstr>
      <vt:lpstr>shutoku222</vt:lpstr>
      <vt:lpstr>shutoku223</vt:lpstr>
      <vt:lpstr>shutoku224</vt:lpstr>
      <vt:lpstr>shutoku225</vt:lpstr>
      <vt:lpstr>shutoku226</vt:lpstr>
      <vt:lpstr>shutoku227</vt:lpstr>
      <vt:lpstr>shutoku228</vt:lpstr>
      <vt:lpstr>shutoku229</vt:lpstr>
      <vt:lpstr>shutoku230</vt:lpstr>
      <vt:lpstr>shutoku231</vt:lpstr>
      <vt:lpstr>shutoku232</vt:lpstr>
      <vt:lpstr>shutoku233</vt:lpstr>
      <vt:lpstr>shutoku234</vt:lpstr>
      <vt:lpstr>shutoku235</vt:lpstr>
      <vt:lpstr>shutoku236</vt:lpstr>
      <vt:lpstr>shutoku237</vt:lpstr>
      <vt:lpstr>shutoku238</vt:lpstr>
      <vt:lpstr>shutoku239</vt:lpstr>
      <vt:lpstr>shutoku240</vt:lpstr>
      <vt:lpstr>shutoku241</vt:lpstr>
      <vt:lpstr>shutoku242</vt:lpstr>
      <vt:lpstr>shutoku243</vt:lpstr>
      <vt:lpstr>shutoku244</vt:lpstr>
      <vt:lpstr>shutoku245</vt:lpstr>
      <vt:lpstr>shutoku246</vt:lpstr>
      <vt:lpstr>shutoku247</vt:lpstr>
      <vt:lpstr>shutoku248</vt:lpstr>
      <vt:lpstr>shutoku249</vt:lpstr>
      <vt:lpstr>shutoku250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2023-06-02T23:39:40Z</dcterms:created>
  <dcterms:modified xsi:type="dcterms:W3CDTF">2025-06-21T05:46:28Z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0x010100F180F4E9C1AB8045B6C34C8F903AEFCB</vt:lpwstr>
  </property>
  <property fmtid="{D5CDD505-2E9C-101B-9397-08002B2CF9AE}" pid="3" name="MSIP_Label_dbb4fa5d-3ac5-4415-967c-34900a0e1c6f_Enabled">
    <vt:lpwstr>true</vt:lpwstr>
  </property>
  <property fmtid="{D5CDD505-2E9C-101B-9397-08002B2CF9AE}" pid="4" name="MSIP_Label_dbb4fa5d-3ac5-4415-967c-34900a0e1c6f_SetDate">
    <vt:lpwstr>2024-08-13T02:12:10Z</vt:lpwstr>
  </property>
  <property fmtid="{D5CDD505-2E9C-101B-9397-08002B2CF9AE}" pid="5" name="MSIP_Label_dbb4fa5d-3ac5-4415-967c-34900a0e1c6f_Method">
    <vt:lpwstr>Privileged</vt:lpwstr>
  </property>
  <property fmtid="{D5CDD505-2E9C-101B-9397-08002B2CF9AE}" pid="6" name="MSIP_Label_dbb4fa5d-3ac5-4415-967c-34900a0e1c6f_Name">
    <vt:lpwstr>dbb4fa5d-3ac5-4415-967c-34900a0e1c6f</vt:lpwstr>
  </property>
  <property fmtid="{D5CDD505-2E9C-101B-9397-08002B2CF9AE}" pid="7" name="MSIP_Label_dbb4fa5d-3ac5-4415-967c-34900a0e1c6f_SiteId">
    <vt:lpwstr>a629ef32-67ba-47a6-8eb3-ec43935644fc</vt:lpwstr>
  </property>
  <property fmtid="{D5CDD505-2E9C-101B-9397-08002B2CF9AE}" pid="8" name="MSIP_Label_dbb4fa5d-3ac5-4415-967c-34900a0e1c6f_ActionId">
    <vt:lpwstr>c369698e-14cb-4aed-a94c-d54b81d40017</vt:lpwstr>
  </property>
  <property fmtid="{D5CDD505-2E9C-101B-9397-08002B2CF9AE}" pid="9" name="MSIP_Label_dbb4fa5d-3ac5-4415-967c-34900a0e1c6f_ContentBits">
    <vt:lpwstr>0</vt:lpwstr>
  </property>
  <property fmtid="{D5CDD505-2E9C-101B-9397-08002B2CF9AE}" pid="10" name="MediaServiceImageTags">
    <vt:lpwstr/>
  </property>
</Properties>
</file>