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defaultThemeVersion="124226"/>
  <xr:revisionPtr revIDLastSave="25" documentId="13_ncr:1_{E50B8391-0597-41CD-959C-5C77F2D5DE6E}" xr6:coauthVersionLast="47" xr6:coauthVersionMax="47" xr10:uidLastSave="{C655CEDC-1E1C-4D9F-B2F7-81479167451A}"/>
  <workbookProtection workbookAlgorithmName="SHA-512" workbookHashValue="ghAyGQqeP0E68I1AChaFczeWe1pUuimwLVKe9qqv+bL828IfIzUxjMjX61aCKC3Eis2m6moUDD94EOFOT0Hizw==" workbookSaltValue="w6C6+exXu3kXaDrGllvvYg==" workbookSpinCount="100000" lockStructure="1"/>
  <bookViews>
    <workbookView xWindow="-120" yWindow="-16320" windowWidth="29040" windowHeight="15720" tabRatio="659" xr2:uid="{00000000-000D-0000-FFFF-FFFF00000000}"/>
  </bookViews>
  <sheets>
    <sheet name="変更お申込書" sheetId="1" r:id="rId1"/>
    <sheet name="変更別紙" sheetId="8" r:id="rId2"/>
    <sheet name="【記載例】変更お申込書" sheetId="9" r:id="rId3"/>
    <sheet name="【記載例】変更別紙" sheetId="10" r:id="rId4"/>
    <sheet name="table（隠す）変更" sheetId="2" state="hidden" r:id="rId5"/>
    <sheet name="選択肢（隠す）変更" sheetId="7" state="hidden" r:id="rId6"/>
  </sheets>
  <definedNames>
    <definedName name="accelikkatsu001">変更別紙!$J$13</definedName>
    <definedName name="accelikkatsu002">変更別紙!$J$14</definedName>
    <definedName name="accelikkatsu003">変更別紙!$J$15</definedName>
    <definedName name="accelikkatsu004">変更別紙!$J$16</definedName>
    <definedName name="accelikkatsu005">変更別紙!$J$17</definedName>
    <definedName name="accelikkatsu006">変更別紙!$J$18</definedName>
    <definedName name="accelikkatsu007">変更別紙!$J$19</definedName>
    <definedName name="accelikkatsu008">変更別紙!$J$20</definedName>
    <definedName name="accelikkatsu009">変更別紙!$J$21</definedName>
    <definedName name="accelikkatsu010">変更別紙!$J$22</definedName>
    <definedName name="accelikkatsu011">変更別紙!$J$23</definedName>
    <definedName name="accelikkatsu012">変更別紙!$J$24</definedName>
    <definedName name="accelikkatsu013">変更別紙!$J$25</definedName>
    <definedName name="accelikkatsu014">変更別紙!$J$26</definedName>
    <definedName name="accelikkatsu015">変更別紙!$J$27</definedName>
    <definedName name="accelikkatsu016">変更別紙!$J$28</definedName>
    <definedName name="accelikkatsu017">変更別紙!$J$29</definedName>
    <definedName name="accelikkatsu018">変更別紙!$J$30</definedName>
    <definedName name="accelikkatsu019">変更別紙!$J$31</definedName>
    <definedName name="accelikkatsu020">変更別紙!$J$32</definedName>
    <definedName name="accelikkatsu021">変更別紙!$J$33</definedName>
    <definedName name="accelikkatsu022">変更別紙!$J$34</definedName>
    <definedName name="accelikkatsu023">変更別紙!$J$35</definedName>
    <definedName name="accelikkatsu024">変更別紙!$J$36</definedName>
    <definedName name="accelikkatsu025">変更別紙!$J$37</definedName>
    <definedName name="accelikkatsu026">変更別紙!$J$38</definedName>
    <definedName name="accelikkatsu027">変更別紙!$J$39</definedName>
    <definedName name="accelikkatsu028">変更別紙!$J$40</definedName>
    <definedName name="accelikkatsu029">変更別紙!$J$41</definedName>
    <definedName name="accelikkatsu030">変更別紙!$J$42</definedName>
    <definedName name="accelikkatsu031">変更別紙!$J$43</definedName>
    <definedName name="accelikkatsu032">変更別紙!$J$44</definedName>
    <definedName name="accelikkatsu033">変更別紙!$J$45</definedName>
    <definedName name="accelikkatsu034">変更別紙!$J$46</definedName>
    <definedName name="accelikkatsu035">変更別紙!$J$47</definedName>
    <definedName name="accelikkatsu036">変更別紙!$J$48</definedName>
    <definedName name="accelikkatsu037">変更別紙!$J$49</definedName>
    <definedName name="accelikkatsu038">変更別紙!$J$50</definedName>
    <definedName name="accelikkatsu039">変更別紙!$J$51</definedName>
    <definedName name="accelikkatsu040">変更別紙!$J$52</definedName>
    <definedName name="accelikkatsu041">変更別紙!$J$53</definedName>
    <definedName name="accelikkatsu042">変更別紙!$J$54</definedName>
    <definedName name="accelikkatsu043">変更別紙!$J$55</definedName>
    <definedName name="accelikkatsu044">変更別紙!$J$56</definedName>
    <definedName name="accelikkatsu045">変更別紙!$J$57</definedName>
    <definedName name="accelikkatsu046">変更別紙!$J$58</definedName>
    <definedName name="accelikkatsu047">変更別紙!$J$59</definedName>
    <definedName name="accelikkatsu048">変更別紙!$J$60</definedName>
    <definedName name="accelikkatsu049">変更別紙!$J$61</definedName>
    <definedName name="accelikkatsu050">変更別紙!$J$62</definedName>
    <definedName name="accelikkatsu051">変更別紙!$J$63</definedName>
    <definedName name="accelikkatsu052">変更別紙!$J$64</definedName>
    <definedName name="accelikkatsu053">変更別紙!$J$65</definedName>
    <definedName name="accelikkatsu054">変更別紙!$J$66</definedName>
    <definedName name="accelikkatsu055">変更別紙!$J$67</definedName>
    <definedName name="accelikkatsu056">変更別紙!$J$68</definedName>
    <definedName name="accelikkatsu057">変更別紙!$J$69</definedName>
    <definedName name="accelikkatsu058">変更別紙!$J$70</definedName>
    <definedName name="accelikkatsu059">変更別紙!$J$71</definedName>
    <definedName name="accelikkatsu060">変更別紙!$J$72</definedName>
    <definedName name="accelikkatsu061">変更別紙!$J$73</definedName>
    <definedName name="accelikkatsu062">変更別紙!$J$74</definedName>
    <definedName name="accelikkatsu063">変更別紙!$J$75</definedName>
    <definedName name="accelikkatsu064">変更別紙!$J$76</definedName>
    <definedName name="accelikkatsu065">変更別紙!$J$77</definedName>
    <definedName name="accelikkatsu066">変更別紙!$J$78</definedName>
    <definedName name="accelikkatsu067">変更別紙!$J$79</definedName>
    <definedName name="accelikkatsu068">変更別紙!$J$80</definedName>
    <definedName name="accelikkatsu069">変更別紙!$J$81</definedName>
    <definedName name="accelikkatsu070">変更別紙!$J$82</definedName>
    <definedName name="accelikkatsu071">変更別紙!$J$83</definedName>
    <definedName name="accelikkatsu072">変更別紙!$J$84</definedName>
    <definedName name="accelikkatsu073">変更別紙!$J$85</definedName>
    <definedName name="accelikkatsu074">変更別紙!$J$86</definedName>
    <definedName name="accelikkatsu075">変更別紙!$J$87</definedName>
    <definedName name="accelikkatsu076">変更別紙!$J$88</definedName>
    <definedName name="accelikkatsu077">変更別紙!$J$89</definedName>
    <definedName name="accelikkatsu078">変更別紙!$J$90</definedName>
    <definedName name="accelikkatsu079">変更別紙!$J$91</definedName>
    <definedName name="accelikkatsu080">変更別紙!$J$92</definedName>
    <definedName name="accelikkatsu081">変更別紙!$J$93</definedName>
    <definedName name="accelikkatsu082">変更別紙!$J$94</definedName>
    <definedName name="accelikkatsu083">変更別紙!$J$95</definedName>
    <definedName name="accelikkatsu084">変更別紙!$J$96</definedName>
    <definedName name="accelikkatsu085">変更別紙!$J$97</definedName>
    <definedName name="accelikkatsu086">変更別紙!$J$98</definedName>
    <definedName name="accelikkatsu087">変更別紙!$J$99</definedName>
    <definedName name="accelikkatsu088">変更別紙!$J$100</definedName>
    <definedName name="accelikkatsu089">変更別紙!$J$101</definedName>
    <definedName name="accelikkatsu090">変更別紙!$J$102</definedName>
    <definedName name="accelikkatsu091">変更別紙!$J$103</definedName>
    <definedName name="accelikkatsu092">変更別紙!$J$104</definedName>
    <definedName name="accelikkatsu093">変更別紙!$J$105</definedName>
    <definedName name="accelikkatsu094">変更別紙!$J$106</definedName>
    <definedName name="accelikkatsu095">変更別紙!$J$107</definedName>
    <definedName name="accelikkatsu096">変更別紙!$J$108</definedName>
    <definedName name="accelikkatsu097">変更別紙!$J$109</definedName>
    <definedName name="accelikkatsu098">変更別紙!$J$110</definedName>
    <definedName name="accelikkatsu099">変更別紙!$J$111</definedName>
    <definedName name="accelikkatsu100">変更別紙!$J$112</definedName>
    <definedName name="accelikkatsu101">変更別紙!$J$113</definedName>
    <definedName name="accelikkatsu102">変更別紙!$J$114</definedName>
    <definedName name="accelikkatsu103">変更別紙!$J$115</definedName>
    <definedName name="accelikkatsu104">変更別紙!$J$116</definedName>
    <definedName name="accelikkatsu105">変更別紙!$J$117</definedName>
    <definedName name="accelikkatsu106">変更別紙!$J$118</definedName>
    <definedName name="accelikkatsu107">変更別紙!$J$119</definedName>
    <definedName name="accelikkatsu108">変更別紙!$J$120</definedName>
    <definedName name="accelikkatsu109">変更別紙!$J$121</definedName>
    <definedName name="accelikkatsu110">変更別紙!$J$122</definedName>
    <definedName name="accelikkatsu111">変更別紙!$J$123</definedName>
    <definedName name="accelikkatsu112">変更別紙!$J$124</definedName>
    <definedName name="accelikkatsu113">変更別紙!$J$125</definedName>
    <definedName name="accelikkatsu114">変更別紙!$J$126</definedName>
    <definedName name="accelikkatsu115">変更別紙!$J$127</definedName>
    <definedName name="accelikkatsu116">変更別紙!$J$128</definedName>
    <definedName name="accelikkatsu117">変更別紙!$J$129</definedName>
    <definedName name="accelikkatsu118">変更別紙!$J$130</definedName>
    <definedName name="accelikkatsu119">変更別紙!$J$131</definedName>
    <definedName name="accelikkatsu120">変更別紙!$J$132</definedName>
    <definedName name="accelikkatsu121">変更別紙!$J$133</definedName>
    <definedName name="accelikkatsu122">変更別紙!$J$134</definedName>
    <definedName name="accelikkatsu123">変更別紙!$J$135</definedName>
    <definedName name="accelikkatsu124">変更別紙!$J$136</definedName>
    <definedName name="accelikkatsu125">変更別紙!$J$137</definedName>
    <definedName name="accelikkatsu126">変更別紙!$J$138</definedName>
    <definedName name="accelikkatsu127">変更別紙!$J$139</definedName>
    <definedName name="accelikkatsu128">変更別紙!$J$140</definedName>
    <definedName name="accelikkatsu129">変更別紙!$J$141</definedName>
    <definedName name="accelikkatsu130">変更別紙!$J$142</definedName>
    <definedName name="accelikkatsu131">変更別紙!$J$143</definedName>
    <definedName name="accelikkatsu132">変更別紙!$J$144</definedName>
    <definedName name="accelikkatsu133">変更別紙!$J$145</definedName>
    <definedName name="accelikkatsu134">変更別紙!$J$146</definedName>
    <definedName name="accelikkatsu135">変更別紙!$J$147</definedName>
    <definedName name="accelikkatsu136">変更別紙!$J$148</definedName>
    <definedName name="accelikkatsu137">変更別紙!$J$149</definedName>
    <definedName name="accelikkatsu138">変更別紙!$J$150</definedName>
    <definedName name="accelikkatsu139">変更別紙!$J$151</definedName>
    <definedName name="accelikkatsu140">変更別紙!$J$152</definedName>
    <definedName name="accelikkatsu141">変更別紙!$J$153</definedName>
    <definedName name="accelikkatsu142">変更別紙!$J$154</definedName>
    <definedName name="accelikkatsu143">変更別紙!$J$155</definedName>
    <definedName name="accelikkatsu144">変更別紙!$J$156</definedName>
    <definedName name="accelikkatsu145">変更別紙!$J$157</definedName>
    <definedName name="accelikkatsu146">変更別紙!$J$158</definedName>
    <definedName name="accelikkatsu147">変更別紙!$J$159</definedName>
    <definedName name="accelikkatsu148">変更別紙!$J$160</definedName>
    <definedName name="accelikkatsu149">変更別紙!$J$161</definedName>
    <definedName name="accelikkatsu150">変更別紙!$J$162</definedName>
    <definedName name="accelikkatsu151">変更別紙!$J$163</definedName>
    <definedName name="accelikkatsu152">変更別紙!$J$164</definedName>
    <definedName name="accelikkatsu153">変更別紙!$J$165</definedName>
    <definedName name="accelikkatsu154">変更別紙!$J$166</definedName>
    <definedName name="accelikkatsu155">変更別紙!$J$167</definedName>
    <definedName name="accelikkatsu156">変更別紙!$J$168</definedName>
    <definedName name="accelikkatsu157">変更別紙!$J$169</definedName>
    <definedName name="accelikkatsu158">変更別紙!$J$170</definedName>
    <definedName name="accelikkatsu159">変更別紙!$J$171</definedName>
    <definedName name="accelikkatsu160">変更別紙!$J$172</definedName>
    <definedName name="accelikkatsu161">変更別紙!$J$173</definedName>
    <definedName name="accelikkatsu162">変更別紙!$J$174</definedName>
    <definedName name="accelikkatsu163">変更別紙!$J$175</definedName>
    <definedName name="accelikkatsu164">変更別紙!$J$176</definedName>
    <definedName name="accelikkatsu165">変更別紙!$J$177</definedName>
    <definedName name="accelikkatsu166">変更別紙!$J$178</definedName>
    <definedName name="accelikkatsu167">変更別紙!$J$179</definedName>
    <definedName name="accelikkatsu168">変更別紙!$J$180</definedName>
    <definedName name="accelikkatsu169">変更別紙!$J$181</definedName>
    <definedName name="accelikkatsu170">変更別紙!$J$182</definedName>
    <definedName name="accelikkatsu171">変更別紙!$J$183</definedName>
    <definedName name="accelikkatsu172">変更別紙!$J$184</definedName>
    <definedName name="accelikkatsu173">変更別紙!$J$185</definedName>
    <definedName name="accelikkatsu174">変更別紙!$J$186</definedName>
    <definedName name="accelikkatsu175">変更別紙!$J$187</definedName>
    <definedName name="accelikkatsu176">変更別紙!$J$188</definedName>
    <definedName name="accelikkatsu177">変更別紙!$J$189</definedName>
    <definedName name="accelikkatsu178">変更別紙!$J$190</definedName>
    <definedName name="accelikkatsu179">変更別紙!$J$191</definedName>
    <definedName name="accelikkatsu180">変更別紙!$J$192</definedName>
    <definedName name="accelikkatsu181">変更別紙!$J$193</definedName>
    <definedName name="accelikkatsu182">変更別紙!$J$194</definedName>
    <definedName name="accelikkatsu183">変更別紙!$J$195</definedName>
    <definedName name="accelikkatsu184">変更別紙!$J$196</definedName>
    <definedName name="accelikkatsu185">変更別紙!$J$197</definedName>
    <definedName name="accelikkatsu186">変更別紙!$J$198</definedName>
    <definedName name="accelikkatsu187">変更別紙!$J$199</definedName>
    <definedName name="accelikkatsu188">変更別紙!$J$200</definedName>
    <definedName name="accelikkatsu189">変更別紙!$J$201</definedName>
    <definedName name="accelikkatsu190">変更別紙!$J$202</definedName>
    <definedName name="accelikkatsu191">変更別紙!$J$203</definedName>
    <definedName name="accelikkatsu192">変更別紙!$J$204</definedName>
    <definedName name="accelikkatsu193">変更別紙!$J$205</definedName>
    <definedName name="accelikkatsu194">変更別紙!$J$206</definedName>
    <definedName name="accelikkatsu195">変更別紙!$J$207</definedName>
    <definedName name="accelikkatsu196">変更別紙!$J$208</definedName>
    <definedName name="accelikkatsu197">変更別紙!$J$209</definedName>
    <definedName name="accelikkatsu198">変更別紙!$J$210</definedName>
    <definedName name="accelikkatsu199">変更別紙!$J$211</definedName>
    <definedName name="accelikkatsu200">変更別紙!$J$212</definedName>
    <definedName name="accelikkatsu201">変更別紙!$J$213</definedName>
    <definedName name="accelikkatsu202">変更別紙!$J$214</definedName>
    <definedName name="accelikkatsu203">変更別紙!$J$215</definedName>
    <definedName name="accelikkatsu204">変更別紙!$J$216</definedName>
    <definedName name="accelikkatsu205">変更別紙!$J$217</definedName>
    <definedName name="accelikkatsu206">変更別紙!$J$218</definedName>
    <definedName name="accelikkatsu207">変更別紙!$J$219</definedName>
    <definedName name="accelikkatsu208">変更別紙!$J$220</definedName>
    <definedName name="accelikkatsu209">変更別紙!$J$221</definedName>
    <definedName name="accelikkatsu210">変更別紙!$J$222</definedName>
    <definedName name="accelikkatsu211">変更別紙!$J$223</definedName>
    <definedName name="accelikkatsu212">変更別紙!$J$224</definedName>
    <definedName name="accelikkatsu213">変更別紙!$J$225</definedName>
    <definedName name="accelikkatsu214">変更別紙!$J$226</definedName>
    <definedName name="accelikkatsu215">変更別紙!$J$227</definedName>
    <definedName name="accelikkatsu216">変更別紙!$J$228</definedName>
    <definedName name="accelikkatsu217">変更別紙!$J$229</definedName>
    <definedName name="accelikkatsu218">変更別紙!$J$230</definedName>
    <definedName name="accelikkatsu219">変更別紙!$J$231</definedName>
    <definedName name="accelikkatsu220">変更別紙!$J$232</definedName>
    <definedName name="accelikkatsu221">変更別紙!$J$233</definedName>
    <definedName name="accelikkatsu222">変更別紙!$J$234</definedName>
    <definedName name="accelikkatsu223">変更別紙!$J$235</definedName>
    <definedName name="accelikkatsu224">変更別紙!$J$236</definedName>
    <definedName name="accelikkatsu225">変更別紙!$J$237</definedName>
    <definedName name="accelikkatsu226">変更別紙!$J$238</definedName>
    <definedName name="accelikkatsu227">変更別紙!$J$239</definedName>
    <definedName name="accelikkatsu228">変更別紙!$J$240</definedName>
    <definedName name="accelikkatsu229">変更別紙!$J$241</definedName>
    <definedName name="accelikkatsu230">変更別紙!$J$242</definedName>
    <definedName name="accelikkatsu231">変更別紙!$J$243</definedName>
    <definedName name="accelikkatsu232">変更別紙!$J$244</definedName>
    <definedName name="accelikkatsu233">変更別紙!$J$245</definedName>
    <definedName name="accelikkatsu234">変更別紙!$J$246</definedName>
    <definedName name="accelikkatsu235">変更別紙!$J$247</definedName>
    <definedName name="accelikkatsu236">変更別紙!$J$248</definedName>
    <definedName name="accelikkatsu237">変更別紙!$J$249</definedName>
    <definedName name="accelikkatsu238">変更別紙!$J$250</definedName>
    <definedName name="accelikkatsu239">変更別紙!$J$251</definedName>
    <definedName name="accelikkatsu240">変更別紙!$J$252</definedName>
    <definedName name="accelikkatsu241">変更別紙!$J$253</definedName>
    <definedName name="accelikkatsu242">変更別紙!$J$254</definedName>
    <definedName name="accelikkatsu243">変更別紙!$J$255</definedName>
    <definedName name="accelikkatsu244">変更別紙!$J$256</definedName>
    <definedName name="accelikkatsu245">変更別紙!$J$257</definedName>
    <definedName name="accelikkatsu246">変更別紙!$J$258</definedName>
    <definedName name="accelikkatsu247">変更別紙!$J$259</definedName>
    <definedName name="accelikkatsu248">変更別紙!$J$260</definedName>
    <definedName name="accelikkatsu249">変更別紙!$J$261</definedName>
    <definedName name="accelikkatsu250">変更別紙!$J$262</definedName>
    <definedName name="accelikkatsu251">変更別紙!$J$263</definedName>
    <definedName name="accelikkatsu252">変更別紙!$J$264</definedName>
    <definedName name="accelikkatsu253">変更別紙!$J$265</definedName>
    <definedName name="accelikkatsu254">変更別紙!$J$266</definedName>
    <definedName name="accelikkatsu255">変更別紙!$J$267</definedName>
    <definedName name="accelikkatsu256">変更別紙!$J$268</definedName>
    <definedName name="accelikkatsu257">変更別紙!$J$269</definedName>
    <definedName name="accelikkatsu258">変更別紙!$J$270</definedName>
    <definedName name="accelikkatsu259">変更別紙!$J$271</definedName>
    <definedName name="accelikkatsu260">変更別紙!$J$272</definedName>
    <definedName name="accelikkatsu261">変更別紙!$J$273</definedName>
    <definedName name="accelikkatsu262">変更別紙!$J$274</definedName>
    <definedName name="accelikkatsu263">変更別紙!$J$275</definedName>
    <definedName name="accelikkatsu264">変更別紙!$J$276</definedName>
    <definedName name="accelikkatsu265">変更別紙!$J$277</definedName>
    <definedName name="accelikkatsu266">変更別紙!$J$278</definedName>
    <definedName name="accelikkatsu267">変更別紙!$J$279</definedName>
    <definedName name="accelikkatsu268">変更別紙!$J$280</definedName>
    <definedName name="accelikkatsu269">変更別紙!$J$281</definedName>
    <definedName name="accelikkatsu270">変更別紙!$J$282</definedName>
    <definedName name="accelikkatsu271">変更別紙!$J$283</definedName>
    <definedName name="accelikkatsu272">変更別紙!$J$284</definedName>
    <definedName name="accelikkatsu273">変更別紙!$J$285</definedName>
    <definedName name="accelikkatsu274">変更別紙!$J$286</definedName>
    <definedName name="accelikkatsu275">変更別紙!$J$287</definedName>
    <definedName name="accelikkatsu276">変更別紙!$J$288</definedName>
    <definedName name="accelikkatsu277">変更別紙!$J$289</definedName>
    <definedName name="accelikkatsu278">変更別紙!$J$290</definedName>
    <definedName name="accelikkatsu279">変更別紙!$J$291</definedName>
    <definedName name="accelikkatsu280">変更別紙!$J$292</definedName>
    <definedName name="accelikkatsu281">変更別紙!$J$293</definedName>
    <definedName name="accelikkatsu282">変更別紙!$J$294</definedName>
    <definedName name="accelikkatsu283">変更別紙!$J$295</definedName>
    <definedName name="accelikkatsu284">変更別紙!$J$296</definedName>
    <definedName name="accelikkatsu285">変更別紙!$J$297</definedName>
    <definedName name="accelikkatsu286">変更別紙!$J$298</definedName>
    <definedName name="accelikkatsu287">変更別紙!$J$299</definedName>
    <definedName name="accelikkatsu288">変更別紙!$J$300</definedName>
    <definedName name="accelikkatsu289">変更別紙!$J$301</definedName>
    <definedName name="accelikkatsu290">変更別紙!$J$302</definedName>
    <definedName name="accelikkatsu291">変更別紙!$J$303</definedName>
    <definedName name="accelikkatsu292">変更別紙!$J$304</definedName>
    <definedName name="accelikkatsu293">変更別紙!$J$305</definedName>
    <definedName name="accelikkatsu294">変更別紙!$J$306</definedName>
    <definedName name="accelikkatsu295">変更別紙!$J$307</definedName>
    <definedName name="accelikkatsu296">変更別紙!$J$308</definedName>
    <definedName name="accelikkatsu297">変更別紙!$J$309</definedName>
    <definedName name="accelikkatsu298">変更別紙!$J$310</definedName>
    <definedName name="accelikkatsu299">変更別紙!$J$311</definedName>
    <definedName name="accelikkatsu300">変更別紙!$J$312</definedName>
    <definedName name="accelikkatsu301">変更別紙!$J$313</definedName>
    <definedName name="accelikkatsu302">変更別紙!$J$314</definedName>
    <definedName name="accelikkatsu303">変更別紙!$J$315</definedName>
    <definedName name="accelikkatsu304">変更別紙!$J$316</definedName>
    <definedName name="accelikkatsu305">変更別紙!$J$317</definedName>
    <definedName name="accelikkatsu306">変更別紙!$J$318</definedName>
    <definedName name="accelikkatsu307">変更別紙!$J$319</definedName>
    <definedName name="accelikkatsu308">変更別紙!$J$320</definedName>
    <definedName name="accelikkatsu309">変更別紙!$J$321</definedName>
    <definedName name="accelikkatsu310">変更別紙!$J$322</definedName>
    <definedName name="accelikkatsu311">変更別紙!$J$323</definedName>
    <definedName name="accelikkatsu312">変更別紙!$J$324</definedName>
    <definedName name="accelikkatsu313">変更別紙!$J$325</definedName>
    <definedName name="accelikkatsu314">変更別紙!$J$326</definedName>
    <definedName name="accelikkatsu315">変更別紙!$J$327</definedName>
    <definedName name="accelikkatsu316">変更別紙!$J$328</definedName>
    <definedName name="accelikkatsu317">変更別紙!$J$329</definedName>
    <definedName name="accelikkatsu318">変更別紙!$J$330</definedName>
    <definedName name="accelikkatsu319">変更別紙!$J$331</definedName>
    <definedName name="accelikkatsu320">変更別紙!$J$332</definedName>
    <definedName name="accelikkatsu321">変更別紙!$J$333</definedName>
    <definedName name="accelikkatsu322">変更別紙!$J$334</definedName>
    <definedName name="accelikkatsu323">変更別紙!$J$335</definedName>
    <definedName name="accelikkatsu324">変更別紙!$J$336</definedName>
    <definedName name="accelikkatsu325">変更別紙!$J$337</definedName>
    <definedName name="accelikkatsu326">変更別紙!$J$338</definedName>
    <definedName name="accelikkatsu327">変更別紙!$J$339</definedName>
    <definedName name="accelikkatsu328">変更別紙!$J$340</definedName>
    <definedName name="accelikkatsu329">変更別紙!$J$341</definedName>
    <definedName name="accelikkatsu330">変更別紙!$J$342</definedName>
    <definedName name="accelikkatsu331">変更別紙!$J$343</definedName>
    <definedName name="accelikkatsu332">変更別紙!$J$344</definedName>
    <definedName name="accelikkatsu333">変更別紙!$J$345</definedName>
    <definedName name="accelikkatsu334">変更別紙!$J$346</definedName>
    <definedName name="accelikkatsu335">変更別紙!$J$347</definedName>
    <definedName name="accelikkatsu336">変更別紙!$J$348</definedName>
    <definedName name="accelikkatsu337">変更別紙!$J$349</definedName>
    <definedName name="accelikkatsu338">変更別紙!$J$350</definedName>
    <definedName name="accelikkatsu339">変更別紙!$J$351</definedName>
    <definedName name="accelikkatsu340">変更別紙!$J$352</definedName>
    <definedName name="accelikkatsu341">変更別紙!$J$353</definedName>
    <definedName name="accelikkatsu342">変更別紙!$J$354</definedName>
    <definedName name="accelikkatsu343">変更別紙!$J$355</definedName>
    <definedName name="accelikkatsu344">変更別紙!$J$356</definedName>
    <definedName name="accelikkatsu345">変更別紙!$J$357</definedName>
    <definedName name="accelikkatsu346">変更別紙!$J$358</definedName>
    <definedName name="accelikkatsu347">変更別紙!$J$359</definedName>
    <definedName name="accelikkatsu348">変更別紙!$J$360</definedName>
    <definedName name="accelikkatsu349">変更別紙!$J$361</definedName>
    <definedName name="accelikkatsu350">変更別紙!$J$362</definedName>
    <definedName name="accelikkatsu351">変更別紙!$J$363</definedName>
    <definedName name="accelikkatsu352">変更別紙!$J$364</definedName>
    <definedName name="accelikkatsu353">変更別紙!$J$365</definedName>
    <definedName name="accelikkatsu354">変更別紙!$J$366</definedName>
    <definedName name="accelikkatsu355">変更別紙!$J$367</definedName>
    <definedName name="accelikkatsu356">変更別紙!$J$368</definedName>
    <definedName name="accelikkatsu357">変更別紙!$J$369</definedName>
    <definedName name="accelikkatsu358">変更別紙!$J$370</definedName>
    <definedName name="accelikkatsu359">変更別紙!$J$371</definedName>
    <definedName name="accelikkatsu360">変更別紙!$J$372</definedName>
    <definedName name="accelikkatsu361">変更別紙!$J$373</definedName>
    <definedName name="accelikkatsu362">変更別紙!$J$374</definedName>
    <definedName name="accelikkatsu363">変更別紙!$J$375</definedName>
    <definedName name="accelikkatsu364">変更別紙!$J$376</definedName>
    <definedName name="accelikkatsu365">変更別紙!$J$377</definedName>
    <definedName name="accelikkatsu366">変更別紙!$J$378</definedName>
    <definedName name="accelikkatsu367">変更別紙!$J$379</definedName>
    <definedName name="accelikkatsu368">変更別紙!$J$380</definedName>
    <definedName name="accelikkatsu369">変更別紙!$J$381</definedName>
    <definedName name="accelikkatsu370">変更別紙!$J$382</definedName>
    <definedName name="accelikkatsu371">変更別紙!$J$383</definedName>
    <definedName name="accelikkatsu372">変更別紙!$J$384</definedName>
    <definedName name="accelikkatsu373">変更別紙!$J$385</definedName>
    <definedName name="accelikkatsu374">変更別紙!$J$386</definedName>
    <definedName name="accelikkatsu375">変更別紙!$J$387</definedName>
    <definedName name="accelikkatsu376">変更別紙!$J$388</definedName>
    <definedName name="accelikkatsu377">変更別紙!$J$389</definedName>
    <definedName name="accelikkatsu378">変更別紙!$J$390</definedName>
    <definedName name="accelikkatsu379">変更別紙!$J$391</definedName>
    <definedName name="accelikkatsu380">変更別紙!$J$392</definedName>
    <definedName name="accelikkatsu381">変更別紙!$J$393</definedName>
    <definedName name="accelikkatsu382">変更別紙!$J$394</definedName>
    <definedName name="accelikkatsu383">変更別紙!$J$395</definedName>
    <definedName name="accelikkatsu384">変更別紙!$J$396</definedName>
    <definedName name="accelikkatsu385">変更別紙!$J$397</definedName>
    <definedName name="accelikkatsu386">変更別紙!$J$398</definedName>
    <definedName name="accelikkatsu387">変更別紙!$J$399</definedName>
    <definedName name="accelikkatsu388">変更別紙!$J$400</definedName>
    <definedName name="accelikkatsu389">変更別紙!$J$401</definedName>
    <definedName name="accelikkatsu390">変更別紙!$J$402</definedName>
    <definedName name="accelikkatsu391">変更別紙!$J$403</definedName>
    <definedName name="accelikkatsu392">変更別紙!$J$404</definedName>
    <definedName name="accelikkatsu393">変更別紙!$J$405</definedName>
    <definedName name="accelikkatsu394">変更別紙!$J$406</definedName>
    <definedName name="accelikkatsu395">変更別紙!$J$407</definedName>
    <definedName name="accelikkatsu396">変更別紙!$J$408</definedName>
    <definedName name="accelikkatsu397">変更別紙!$J$409</definedName>
    <definedName name="accelikkatsu398">変更別紙!$J$410</definedName>
    <definedName name="accelikkatsu399">変更別紙!$J$411</definedName>
    <definedName name="accelikkatsu400">変更別紙!$J$412</definedName>
    <definedName name="accelikkatsu401">変更別紙!$J$413</definedName>
    <definedName name="accelikkatsu402">変更別紙!$J$414</definedName>
    <definedName name="accelikkatsu403">変更別紙!$J$415</definedName>
    <definedName name="accelikkatsu404">変更別紙!$J$416</definedName>
    <definedName name="accelikkatsu405">変更別紙!$J$417</definedName>
    <definedName name="accelikkatsu406">変更別紙!$J$418</definedName>
    <definedName name="accelikkatsu407">変更別紙!$J$419</definedName>
    <definedName name="accelikkatsu408">変更別紙!$J$420</definedName>
    <definedName name="accelikkatsu409">変更別紙!$J$421</definedName>
    <definedName name="accelikkatsu410">変更別紙!$J$422</definedName>
    <definedName name="accelikkatsu411">変更別紙!$J$423</definedName>
    <definedName name="accelikkatsu412">変更別紙!$J$424</definedName>
    <definedName name="accelikkatsu413">変更別紙!$J$425</definedName>
    <definedName name="accelikkatsu414">変更別紙!$J$426</definedName>
    <definedName name="accelikkatsu415">変更別紙!$J$427</definedName>
    <definedName name="accelikkatsu416">変更別紙!$J$428</definedName>
    <definedName name="accelikkatsu417">変更別紙!$J$429</definedName>
    <definedName name="accelikkatsu418">変更別紙!$J$430</definedName>
    <definedName name="accelikkatsu419">変更別紙!$J$431</definedName>
    <definedName name="accelikkatsu420">変更別紙!$J$432</definedName>
    <definedName name="accelikkatsu421">変更別紙!$J$433</definedName>
    <definedName name="accelikkatsu422">変更別紙!$J$434</definedName>
    <definedName name="accelikkatsu423">変更別紙!$J$435</definedName>
    <definedName name="accelikkatsu424">変更別紙!$J$436</definedName>
    <definedName name="accelikkatsu425">変更別紙!$J$437</definedName>
    <definedName name="accelikkatsu426">変更別紙!$J$438</definedName>
    <definedName name="accelikkatsu427">変更別紙!$J$439</definedName>
    <definedName name="accelikkatsu428">変更別紙!$J$440</definedName>
    <definedName name="accelikkatsu429">変更別紙!$J$441</definedName>
    <definedName name="accelikkatsu430">変更別紙!$J$442</definedName>
    <definedName name="accelikkatsu431">変更別紙!$J$443</definedName>
    <definedName name="accelikkatsu432">変更別紙!$J$444</definedName>
    <definedName name="accelikkatsu433">変更別紙!$J$445</definedName>
    <definedName name="accelikkatsu434">変更別紙!$J$446</definedName>
    <definedName name="accelikkatsu435">変更別紙!$J$447</definedName>
    <definedName name="accelikkatsu436">変更別紙!$J$448</definedName>
    <definedName name="accelikkatsu437">変更別紙!$J$449</definedName>
    <definedName name="accelikkatsu438">変更別紙!$J$450</definedName>
    <definedName name="accelikkatsu439">変更別紙!$J$451</definedName>
    <definedName name="accelikkatsu440">変更別紙!$J$452</definedName>
    <definedName name="accelikkatsu441">変更別紙!$J$453</definedName>
    <definedName name="accelikkatsu442">変更別紙!$J$454</definedName>
    <definedName name="accelikkatsu443">変更別紙!$J$455</definedName>
    <definedName name="accelikkatsu444">変更別紙!$J$456</definedName>
    <definedName name="accelikkatsu445">変更別紙!$J$457</definedName>
    <definedName name="accelikkatsu446">変更別紙!$J$458</definedName>
    <definedName name="accelikkatsu447">変更別紙!$J$459</definedName>
    <definedName name="accelikkatsu448">変更別紙!$J$460</definedName>
    <definedName name="accelikkatsu449">変更別紙!$J$461</definedName>
    <definedName name="accelikkatsu450">変更別紙!$J$462</definedName>
    <definedName name="accelikkatsu451">変更別紙!$J$463</definedName>
    <definedName name="accelikkatsu452">変更別紙!$J$464</definedName>
    <definedName name="accelikkatsu453">変更別紙!$J$465</definedName>
    <definedName name="accelikkatsu454">変更別紙!$J$466</definedName>
    <definedName name="accelikkatsu455">変更別紙!$J$467</definedName>
    <definedName name="accelikkatsu456">変更別紙!$J$468</definedName>
    <definedName name="accelikkatsu457">変更別紙!$J$469</definedName>
    <definedName name="accelikkatsu458">変更別紙!$J$470</definedName>
    <definedName name="accelikkatsu459">変更別紙!$J$471</definedName>
    <definedName name="accelikkatsu460">変更別紙!$J$472</definedName>
    <definedName name="accelikkatsu461">変更別紙!$J$473</definedName>
    <definedName name="accelikkatsu462">変更別紙!$J$474</definedName>
    <definedName name="accelikkatsu463">変更別紙!$J$475</definedName>
    <definedName name="accelikkatsu464">変更別紙!$J$476</definedName>
    <definedName name="accelikkatsu465">変更別紙!$J$477</definedName>
    <definedName name="accelikkatsu466">変更別紙!$J$478</definedName>
    <definedName name="accelikkatsu467">変更別紙!$J$479</definedName>
    <definedName name="accelikkatsu468">変更別紙!$J$480</definedName>
    <definedName name="accelikkatsu469">変更別紙!$J$481</definedName>
    <definedName name="accelikkatsu470">変更別紙!$J$482</definedName>
    <definedName name="accelikkatsu471">変更別紙!$J$483</definedName>
    <definedName name="accelikkatsu472">変更別紙!$J$484</definedName>
    <definedName name="accelikkatsu473">変更別紙!$J$485</definedName>
    <definedName name="accelikkatsu474">変更別紙!$J$486</definedName>
    <definedName name="accelikkatsu475">変更別紙!$J$487</definedName>
    <definedName name="accelikkatsu476">変更別紙!$J$488</definedName>
    <definedName name="accelikkatsu477">変更別紙!$J$489</definedName>
    <definedName name="accelikkatsu478">変更別紙!$J$490</definedName>
    <definedName name="accelikkatsu479">変更別紙!$J$491</definedName>
    <definedName name="accelikkatsu480">変更別紙!$J$492</definedName>
    <definedName name="accelikkatsu481">変更別紙!$J$493</definedName>
    <definedName name="accelikkatsu482">変更別紙!$J$494</definedName>
    <definedName name="accelikkatsu483">変更別紙!$J$495</definedName>
    <definedName name="accelikkatsu484">変更別紙!$J$496</definedName>
    <definedName name="accelikkatsu485">変更別紙!$J$497</definedName>
    <definedName name="accelikkatsu486">変更別紙!$J$498</definedName>
    <definedName name="accelikkatsu487">変更別紙!$J$499</definedName>
    <definedName name="accelikkatsu488">変更別紙!$J$500</definedName>
    <definedName name="accelikkatsu489">変更別紙!$J$501</definedName>
    <definedName name="accelikkatsu490">変更別紙!$J$502</definedName>
    <definedName name="accelikkatsu491">変更別紙!$J$503</definedName>
    <definedName name="accelikkatsu492">変更別紙!$J$504</definedName>
    <definedName name="accelikkatsu493">変更別紙!$J$505</definedName>
    <definedName name="accelikkatsu494">変更別紙!$J$506</definedName>
    <definedName name="accelikkatsu495">変更別紙!$J$507</definedName>
    <definedName name="accelikkatsu496">変更別紙!$J$508</definedName>
    <definedName name="accelikkatsu497">変更別紙!$J$509</definedName>
    <definedName name="accelikkatsu498">変更別紙!$J$510</definedName>
    <definedName name="accelikkatsu499">変更別紙!$J$511</definedName>
    <definedName name="accelikkatsu500">変更別紙!$J$512</definedName>
    <definedName name="applicationArrivalDate">変更お申込書!$K$10</definedName>
    <definedName name="belugabun001">変更別紙!$L$13</definedName>
    <definedName name="belugabun002">変更別紙!$L$14</definedName>
    <definedName name="belugabun003">変更別紙!$L$15</definedName>
    <definedName name="belugabun004">変更別紙!$L$16</definedName>
    <definedName name="belugabun005">変更別紙!$L$17</definedName>
    <definedName name="belugabun006">変更別紙!$L$18</definedName>
    <definedName name="belugabun007">変更別紙!$L$19</definedName>
    <definedName name="belugabun008">変更別紙!$L$20</definedName>
    <definedName name="belugabun009">変更別紙!$L$21</definedName>
    <definedName name="belugabun010">変更別紙!$L$22</definedName>
    <definedName name="belugabun011">変更別紙!$L$23</definedName>
    <definedName name="belugabun012">変更別紙!$L$24</definedName>
    <definedName name="belugabun013">変更別紙!$L$25</definedName>
    <definedName name="belugabun014">変更別紙!$L$26</definedName>
    <definedName name="belugabun015">変更別紙!$L$27</definedName>
    <definedName name="belugabun016">変更別紙!$L$28</definedName>
    <definedName name="belugabun017">変更別紙!$L$29</definedName>
    <definedName name="belugabun018">変更別紙!$L$30</definedName>
    <definedName name="belugabun019">変更別紙!$L$31</definedName>
    <definedName name="belugabun020">変更別紙!$L$32</definedName>
    <definedName name="belugabun021">変更別紙!$L$33</definedName>
    <definedName name="belugabun022">変更別紙!$L$34</definedName>
    <definedName name="belugabun023">変更別紙!$L$35</definedName>
    <definedName name="belugabun024">変更別紙!$L$36</definedName>
    <definedName name="belugabun025">変更別紙!$L$37</definedName>
    <definedName name="belugabun026">変更別紙!$L$38</definedName>
    <definedName name="belugabun027">変更別紙!$L$39</definedName>
    <definedName name="belugabun028">変更別紙!$L$40</definedName>
    <definedName name="belugabun029">変更別紙!$L$41</definedName>
    <definedName name="belugabun030">変更別紙!$L$42</definedName>
    <definedName name="belugabun031">変更別紙!$L$43</definedName>
    <definedName name="belugabun032">変更別紙!$L$44</definedName>
    <definedName name="belugabun033">変更別紙!$L$45</definedName>
    <definedName name="belugabun034">変更別紙!$L$46</definedName>
    <definedName name="belugabun035">変更別紙!$L$47</definedName>
    <definedName name="belugabun036">変更別紙!$L$48</definedName>
    <definedName name="belugabun037">変更別紙!$L$49</definedName>
    <definedName name="belugabun038">変更別紙!$L$50</definedName>
    <definedName name="belugabun039">変更別紙!$L$51</definedName>
    <definedName name="belugabun040">変更別紙!$L$52</definedName>
    <definedName name="belugabun041">変更別紙!$L$53</definedName>
    <definedName name="belugabun042">変更別紙!$L$54</definedName>
    <definedName name="belugabun043">変更別紙!$L$55</definedName>
    <definedName name="belugabun044">変更別紙!$L$56</definedName>
    <definedName name="belugabun045">変更別紙!$L$57</definedName>
    <definedName name="belugabun046">変更別紙!$L$58</definedName>
    <definedName name="belugabun047">変更別紙!$L$59</definedName>
    <definedName name="belugabun048">変更別紙!$L$60</definedName>
    <definedName name="belugabun049">変更別紙!$L$61</definedName>
    <definedName name="belugabun050">変更別紙!$L$62</definedName>
    <definedName name="belugabun051">変更別紙!$L$63</definedName>
    <definedName name="belugabun052">変更別紙!$L$64</definedName>
    <definedName name="belugabun053">変更別紙!$L$65</definedName>
    <definedName name="belugabun054">変更別紙!$L$66</definedName>
    <definedName name="belugabun055">変更別紙!$L$67</definedName>
    <definedName name="belugabun056">変更別紙!$L$68</definedName>
    <definedName name="belugabun057">変更別紙!$L$69</definedName>
    <definedName name="belugabun058">変更別紙!$L$70</definedName>
    <definedName name="belugabun059">変更別紙!$L$71</definedName>
    <definedName name="belugabun060">変更別紙!$L$72</definedName>
    <definedName name="belugabun061">変更別紙!$L$73</definedName>
    <definedName name="belugabun062">変更別紙!$L$74</definedName>
    <definedName name="belugabun063">変更別紙!$L$75</definedName>
    <definedName name="belugabun064">変更別紙!$L$76</definedName>
    <definedName name="belugabun065">変更別紙!$L$77</definedName>
    <definedName name="belugabun066">変更別紙!$L$78</definedName>
    <definedName name="belugabun067">変更別紙!$L$79</definedName>
    <definedName name="belugabun068">変更別紙!$L$80</definedName>
    <definedName name="belugabun069">変更別紙!$L$81</definedName>
    <definedName name="belugabun070">変更別紙!$L$82</definedName>
    <definedName name="belugabun071">変更別紙!$L$83</definedName>
    <definedName name="belugabun072">変更別紙!$L$84</definedName>
    <definedName name="belugabun073">変更別紙!$L$85</definedName>
    <definedName name="belugabun074">変更別紙!$L$86</definedName>
    <definedName name="belugabun075">変更別紙!$L$87</definedName>
    <definedName name="belugabun076">変更別紙!$L$88</definedName>
    <definedName name="belugabun077">変更別紙!$L$89</definedName>
    <definedName name="belugabun078">変更別紙!$L$90</definedName>
    <definedName name="belugabun079">変更別紙!$L$91</definedName>
    <definedName name="belugabun080">変更別紙!$L$92</definedName>
    <definedName name="belugabun081">変更別紙!$L$93</definedName>
    <definedName name="belugabun082">変更別紙!$L$94</definedName>
    <definedName name="belugabun083">変更別紙!$L$95</definedName>
    <definedName name="belugabun084">変更別紙!$L$96</definedName>
    <definedName name="belugabun085">変更別紙!$L$97</definedName>
    <definedName name="belugabun086">変更別紙!$L$98</definedName>
    <definedName name="belugabun087">変更別紙!$L$99</definedName>
    <definedName name="belugabun088">変更別紙!$L$100</definedName>
    <definedName name="belugabun089">変更別紙!$L$101</definedName>
    <definedName name="belugabun090">変更別紙!$L$102</definedName>
    <definedName name="belugabun091">変更別紙!$L$103</definedName>
    <definedName name="belugabun092">変更別紙!$L$104</definedName>
    <definedName name="belugabun093">変更別紙!$L$105</definedName>
    <definedName name="belugabun094">変更別紙!$L$106</definedName>
    <definedName name="belugabun095">変更別紙!$L$107</definedName>
    <definedName name="belugabun096">変更別紙!$L$108</definedName>
    <definedName name="belugabun097">変更別紙!$L$109</definedName>
    <definedName name="belugabun098">変更別紙!$L$110</definedName>
    <definedName name="belugabun099">変更別紙!$L$111</definedName>
    <definedName name="belugabun100">変更別紙!$L$112</definedName>
    <definedName name="belugabun101">変更別紙!$L$113</definedName>
    <definedName name="belugabun102">変更別紙!$L$114</definedName>
    <definedName name="belugabun103">変更別紙!$L$115</definedName>
    <definedName name="belugabun104">変更別紙!$L$116</definedName>
    <definedName name="belugabun105">変更別紙!$L$117</definedName>
    <definedName name="belugabun106">変更別紙!$L$118</definedName>
    <definedName name="belugabun107">変更別紙!$L$119</definedName>
    <definedName name="belugabun108">変更別紙!$L$120</definedName>
    <definedName name="belugabun109">変更別紙!$L$121</definedName>
    <definedName name="belugabun110">変更別紙!$L$122</definedName>
    <definedName name="belugabun111">変更別紙!$L$123</definedName>
    <definedName name="belugabun112">変更別紙!$L$124</definedName>
    <definedName name="belugabun113">変更別紙!$L$125</definedName>
    <definedName name="belugabun114">変更別紙!$L$126</definedName>
    <definedName name="belugabun115">変更別紙!$L$127</definedName>
    <definedName name="belugabun116">変更別紙!$L$128</definedName>
    <definedName name="belugabun117">変更別紙!$L$129</definedName>
    <definedName name="belugabun118">変更別紙!$L$130</definedName>
    <definedName name="belugabun119">変更別紙!$L$131</definedName>
    <definedName name="belugabun120">変更別紙!$L$132</definedName>
    <definedName name="belugabun121">変更別紙!$L$133</definedName>
    <definedName name="belugabun122">変更別紙!$L$134</definedName>
    <definedName name="belugabun123">変更別紙!$L$135</definedName>
    <definedName name="belugabun124">変更別紙!$L$136</definedName>
    <definedName name="belugabun125">変更別紙!$L$137</definedName>
    <definedName name="belugabun126">変更別紙!$L$138</definedName>
    <definedName name="belugabun127">変更別紙!$L$139</definedName>
    <definedName name="belugabun128">変更別紙!$L$140</definedName>
    <definedName name="belugabun129">変更別紙!$L$141</definedName>
    <definedName name="belugabun130">変更別紙!$L$142</definedName>
    <definedName name="belugabun131">変更別紙!$L$143</definedName>
    <definedName name="belugabun132">変更別紙!$L$144</definedName>
    <definedName name="belugabun133">変更別紙!$L$145</definedName>
    <definedName name="belugabun134">変更別紙!$L$146</definedName>
    <definedName name="belugabun135">変更別紙!$L$147</definedName>
    <definedName name="belugabun136">変更別紙!$L$148</definedName>
    <definedName name="belugabun137">変更別紙!$L$149</definedName>
    <definedName name="belugabun138">変更別紙!$L$150</definedName>
    <definedName name="belugabun139">変更別紙!$L$151</definedName>
    <definedName name="belugabun140">変更別紙!$L$152</definedName>
    <definedName name="belugabun141">変更別紙!$L$153</definedName>
    <definedName name="belugabun142">変更別紙!$L$154</definedName>
    <definedName name="belugabun143">変更別紙!$L$155</definedName>
    <definedName name="belugabun144">変更別紙!$L$156</definedName>
    <definedName name="belugabun145">変更別紙!$L$157</definedName>
    <definedName name="belugabun146">変更別紙!$L$158</definedName>
    <definedName name="belugabun147">変更別紙!$L$159</definedName>
    <definedName name="belugabun148">変更別紙!$L$160</definedName>
    <definedName name="belugabun149">変更別紙!$L$161</definedName>
    <definedName name="belugabun150">変更別紙!$L$162</definedName>
    <definedName name="belugabun151">変更別紙!$L$163</definedName>
    <definedName name="belugabun152">変更別紙!$L$164</definedName>
    <definedName name="belugabun153">変更別紙!$L$165</definedName>
    <definedName name="belugabun154">変更別紙!$L$166</definedName>
    <definedName name="belugabun155">変更別紙!$L$167</definedName>
    <definedName name="belugabun156">変更別紙!$L$168</definedName>
    <definedName name="belugabun157">変更別紙!$L$169</definedName>
    <definedName name="belugabun158">変更別紙!$L$170</definedName>
    <definedName name="belugabun159">変更別紙!$L$171</definedName>
    <definedName name="belugabun160">変更別紙!$L$172</definedName>
    <definedName name="belugabun161">変更別紙!$L$173</definedName>
    <definedName name="belugabun162">変更別紙!$L$174</definedName>
    <definedName name="belugabun163">変更別紙!$L$175</definedName>
    <definedName name="belugabun164">変更別紙!$L$176</definedName>
    <definedName name="belugabun165">変更別紙!$L$177</definedName>
    <definedName name="belugabun166">変更別紙!$L$178</definedName>
    <definedName name="belugabun167">変更別紙!$L$179</definedName>
    <definedName name="belugabun168">変更別紙!$L$180</definedName>
    <definedName name="belugabun169">変更別紙!$L$181</definedName>
    <definedName name="belugabun170">変更別紙!$L$182</definedName>
    <definedName name="belugabun171">変更別紙!$L$183</definedName>
    <definedName name="belugabun172">変更別紙!$L$184</definedName>
    <definedName name="belugabun173">変更別紙!$L$185</definedName>
    <definedName name="belugabun174">変更別紙!$L$186</definedName>
    <definedName name="belugabun175">変更別紙!$L$187</definedName>
    <definedName name="belugabun176">変更別紙!$L$188</definedName>
    <definedName name="belugabun177">変更別紙!$L$189</definedName>
    <definedName name="belugabun178">変更別紙!$L$190</definedName>
    <definedName name="belugabun179">変更別紙!$L$191</definedName>
    <definedName name="belugabun180">変更別紙!$L$192</definedName>
    <definedName name="belugabun181">変更別紙!$L$193</definedName>
    <definedName name="belugabun182">変更別紙!$L$194</definedName>
    <definedName name="belugabun183">変更別紙!$L$195</definedName>
    <definedName name="belugabun184">変更別紙!$L$196</definedName>
    <definedName name="belugabun185">変更別紙!$L$197</definedName>
    <definedName name="belugabun186">変更別紙!$L$198</definedName>
    <definedName name="belugabun187">変更別紙!$L$199</definedName>
    <definedName name="belugabun188">変更別紙!$L$200</definedName>
    <definedName name="belugabun189">変更別紙!$L$201</definedName>
    <definedName name="belugabun190">変更別紙!$L$202</definedName>
    <definedName name="belugabun191">変更別紙!$L$203</definedName>
    <definedName name="belugabun192">変更別紙!$L$204</definedName>
    <definedName name="belugabun193">変更別紙!$L$205</definedName>
    <definedName name="belugabun194">変更別紙!$L$206</definedName>
    <definedName name="belugabun195">変更別紙!$L$207</definedName>
    <definedName name="belugabun196">変更別紙!$L$208</definedName>
    <definedName name="belugabun197">変更別紙!$L$209</definedName>
    <definedName name="belugabun198">変更別紙!$L$210</definedName>
    <definedName name="belugabun199">変更別紙!$L$211</definedName>
    <definedName name="belugabun200">変更別紙!$L$212</definedName>
    <definedName name="belugabun201">変更別紙!$L$213</definedName>
    <definedName name="belugabun202">変更別紙!$L$214</definedName>
    <definedName name="belugabun203">変更別紙!$L$215</definedName>
    <definedName name="belugabun204">変更別紙!$L$216</definedName>
    <definedName name="belugabun205">変更別紙!$L$217</definedName>
    <definedName name="belugabun206">変更別紙!$L$218</definedName>
    <definedName name="belugabun207">変更別紙!$L$219</definedName>
    <definedName name="belugabun208">変更別紙!$L$220</definedName>
    <definedName name="belugabun209">変更別紙!$L$221</definedName>
    <definedName name="belugabun210">変更別紙!$L$222</definedName>
    <definedName name="belugabun211">変更別紙!$L$223</definedName>
    <definedName name="belugabun212">変更別紙!$L$224</definedName>
    <definedName name="belugabun213">変更別紙!$L$225</definedName>
    <definedName name="belugabun214">変更別紙!$L$226</definedName>
    <definedName name="belugabun215">変更別紙!$L$227</definedName>
    <definedName name="belugabun216">変更別紙!$L$228</definedName>
    <definedName name="belugabun217">変更別紙!$L$229</definedName>
    <definedName name="belugabun218">変更別紙!$L$230</definedName>
    <definedName name="belugabun219">変更別紙!$L$231</definedName>
    <definedName name="belugabun220">変更別紙!$L$232</definedName>
    <definedName name="belugabun221">変更別紙!$L$233</definedName>
    <definedName name="belugabun222">変更別紙!$L$234</definedName>
    <definedName name="belugabun223">変更別紙!$L$235</definedName>
    <definedName name="belugabun224">変更別紙!$L$236</definedName>
    <definedName name="belugabun225">変更別紙!$L$237</definedName>
    <definedName name="belugabun226">変更別紙!$L$238</definedName>
    <definedName name="belugabun227">変更別紙!$L$239</definedName>
    <definedName name="belugabun228">変更別紙!$L$240</definedName>
    <definedName name="belugabun229">変更別紙!$L$241</definedName>
    <definedName name="belugabun230">変更別紙!$L$242</definedName>
    <definedName name="belugabun231">変更別紙!$L$243</definedName>
    <definedName name="belugabun232">変更別紙!$L$244</definedName>
    <definedName name="belugabun233">変更別紙!$L$245</definedName>
    <definedName name="belugabun234">変更別紙!$L$246</definedName>
    <definedName name="belugabun235">変更別紙!$L$247</definedName>
    <definedName name="belugabun236">変更別紙!$L$248</definedName>
    <definedName name="belugabun237">変更別紙!$L$249</definedName>
    <definedName name="belugabun238">変更別紙!$L$250</definedName>
    <definedName name="belugabun239">変更別紙!$L$251</definedName>
    <definedName name="belugabun240">変更別紙!$L$252</definedName>
    <definedName name="belugabun241">変更別紙!$L$253</definedName>
    <definedName name="belugabun242">変更別紙!$L$254</definedName>
    <definedName name="belugabun243">変更別紙!$L$255</definedName>
    <definedName name="belugabun244">変更別紙!$L$256</definedName>
    <definedName name="belugabun245">変更別紙!$L$257</definedName>
    <definedName name="belugabun246">変更別紙!$L$258</definedName>
    <definedName name="belugabun247">変更別紙!$L$259</definedName>
    <definedName name="belugabun248">変更別紙!$L$260</definedName>
    <definedName name="belugabun249">変更別紙!$L$261</definedName>
    <definedName name="belugabun250">変更別紙!$L$262</definedName>
    <definedName name="belugabun251">変更別紙!$L$263</definedName>
    <definedName name="belugabun252">変更別紙!$L$264</definedName>
    <definedName name="belugabun253">変更別紙!$L$265</definedName>
    <definedName name="belugabun254">変更別紙!$L$266</definedName>
    <definedName name="belugabun255">変更別紙!$L$267</definedName>
    <definedName name="belugabun256">変更別紙!$L$268</definedName>
    <definedName name="belugabun257">変更別紙!$L$269</definedName>
    <definedName name="belugabun258">変更別紙!$L$270</definedName>
    <definedName name="belugabun259">変更別紙!$L$271</definedName>
    <definedName name="belugabun260">変更別紙!$L$272</definedName>
    <definedName name="belugabun261">変更別紙!$L$273</definedName>
    <definedName name="belugabun262">変更別紙!$L$274</definedName>
    <definedName name="belugabun263">変更別紙!$L$275</definedName>
    <definedName name="belugabun264">変更別紙!$L$276</definedName>
    <definedName name="belugabun265">変更別紙!$L$277</definedName>
    <definedName name="belugabun266">変更別紙!$L$278</definedName>
    <definedName name="belugabun267">変更別紙!$L$279</definedName>
    <definedName name="belugabun268">変更別紙!$L$280</definedName>
    <definedName name="belugabun269">変更別紙!$L$281</definedName>
    <definedName name="belugabun270">変更別紙!$L$282</definedName>
    <definedName name="belugabun271">変更別紙!$L$283</definedName>
    <definedName name="belugabun272">変更別紙!$L$284</definedName>
    <definedName name="belugabun273">変更別紙!$L$285</definedName>
    <definedName name="belugabun274">変更別紙!$L$286</definedName>
    <definedName name="belugabun275">変更別紙!$L$287</definedName>
    <definedName name="belugabun276">変更別紙!$L$288</definedName>
    <definedName name="belugabun277">変更別紙!$L$289</definedName>
    <definedName name="belugabun278">変更別紙!$L$290</definedName>
    <definedName name="belugabun279">変更別紙!$L$291</definedName>
    <definedName name="belugabun280">変更別紙!$L$292</definedName>
    <definedName name="belugabun281">変更別紙!$L$293</definedName>
    <definedName name="belugabun282">変更別紙!$L$294</definedName>
    <definedName name="belugabun283">変更別紙!$L$295</definedName>
    <definedName name="belugabun284">変更別紙!$L$296</definedName>
    <definedName name="belugabun285">変更別紙!$L$297</definedName>
    <definedName name="belugabun286">変更別紙!$L$298</definedName>
    <definedName name="belugabun287">変更別紙!$L$299</definedName>
    <definedName name="belugabun288">変更別紙!$L$300</definedName>
    <definedName name="belugabun289">変更別紙!$L$301</definedName>
    <definedName name="belugabun290">変更別紙!$L$302</definedName>
    <definedName name="belugabun291">変更別紙!$L$303</definedName>
    <definedName name="belugabun292">変更別紙!$L$304</definedName>
    <definedName name="belugabun293">変更別紙!$L$305</definedName>
    <definedName name="belugabun294">変更別紙!$L$306</definedName>
    <definedName name="belugabun295">変更別紙!$L$307</definedName>
    <definedName name="belugabun296">変更別紙!$L$308</definedName>
    <definedName name="belugabun297">変更別紙!$L$309</definedName>
    <definedName name="belugabun298">変更別紙!$L$310</definedName>
    <definedName name="belugabun299">変更別紙!$L$311</definedName>
    <definedName name="belugabun300">変更別紙!$L$312</definedName>
    <definedName name="belugabun301">変更別紙!$L$313</definedName>
    <definedName name="belugabun302">変更別紙!$L$314</definedName>
    <definedName name="belugabun303">変更別紙!$L$315</definedName>
    <definedName name="belugabun304">変更別紙!$L$316</definedName>
    <definedName name="belugabun305">変更別紙!$L$317</definedName>
    <definedName name="belugabun306">変更別紙!$L$318</definedName>
    <definedName name="belugabun307">変更別紙!$L$319</definedName>
    <definedName name="belugabun308">変更別紙!$L$320</definedName>
    <definedName name="belugabun309">変更別紙!$L$321</definedName>
    <definedName name="belugabun310">変更別紙!$L$322</definedName>
    <definedName name="belugabun311">変更別紙!$L$323</definedName>
    <definedName name="belugabun312">変更別紙!$L$324</definedName>
    <definedName name="belugabun313">変更別紙!$L$325</definedName>
    <definedName name="belugabun314">変更別紙!$L$326</definedName>
    <definedName name="belugabun315">変更別紙!$L$327</definedName>
    <definedName name="belugabun316">変更別紙!$L$328</definedName>
    <definedName name="belugabun317">変更別紙!$L$329</definedName>
    <definedName name="belugabun318">変更別紙!$L$330</definedName>
    <definedName name="belugabun319">変更別紙!$L$331</definedName>
    <definedName name="belugabun320">変更別紙!$L$332</definedName>
    <definedName name="belugabun321">変更別紙!$L$333</definedName>
    <definedName name="belugabun322">変更別紙!$L$334</definedName>
    <definedName name="belugabun323">変更別紙!$L$335</definedName>
    <definedName name="belugabun324">変更別紙!$L$336</definedName>
    <definedName name="belugabun325">変更別紙!$L$337</definedName>
    <definedName name="belugabun326">変更別紙!$L$338</definedName>
    <definedName name="belugabun327">変更別紙!$L$339</definedName>
    <definedName name="belugabun328">変更別紙!$L$340</definedName>
    <definedName name="belugabun329">変更別紙!$L$341</definedName>
    <definedName name="belugabun330">変更別紙!$L$342</definedName>
    <definedName name="belugabun331">変更別紙!$L$343</definedName>
    <definedName name="belugabun332">変更別紙!$L$344</definedName>
    <definedName name="belugabun333">変更別紙!$L$345</definedName>
    <definedName name="belugabun334">変更別紙!$L$346</definedName>
    <definedName name="belugabun335">変更別紙!$L$347</definedName>
    <definedName name="belugabun336">変更別紙!$L$348</definedName>
    <definedName name="belugabun337">変更別紙!$L$349</definedName>
    <definedName name="belugabun338">変更別紙!$L$350</definedName>
    <definedName name="belugabun339">変更別紙!$L$351</definedName>
    <definedName name="belugabun340">変更別紙!$L$352</definedName>
    <definedName name="belugabun341">変更別紙!$L$353</definedName>
    <definedName name="belugabun342">変更別紙!$L$354</definedName>
    <definedName name="belugabun343">変更別紙!$L$355</definedName>
    <definedName name="belugabun344">変更別紙!$L$356</definedName>
    <definedName name="belugabun345">変更別紙!$L$357</definedName>
    <definedName name="belugabun346">変更別紙!$L$358</definedName>
    <definedName name="belugabun347">変更別紙!$L$359</definedName>
    <definedName name="belugabun348">変更別紙!$L$360</definedName>
    <definedName name="belugabun349">変更別紙!$L$361</definedName>
    <definedName name="belugabun350">変更別紙!$L$362</definedName>
    <definedName name="belugabun351">変更別紙!$L$363</definedName>
    <definedName name="belugabun352">変更別紙!$L$364</definedName>
    <definedName name="belugabun353">変更別紙!$L$365</definedName>
    <definedName name="belugabun354">変更別紙!$L$366</definedName>
    <definedName name="belugabun355">変更別紙!$L$367</definedName>
    <definedName name="belugabun356">変更別紙!$L$368</definedName>
    <definedName name="belugabun357">変更別紙!$L$369</definedName>
    <definedName name="belugabun358">変更別紙!$L$370</definedName>
    <definedName name="belugabun359">変更別紙!$L$371</definedName>
    <definedName name="belugabun360">変更別紙!$L$372</definedName>
    <definedName name="belugabun361">変更別紙!$L$373</definedName>
    <definedName name="belugabun362">変更別紙!$L$374</definedName>
    <definedName name="belugabun363">変更別紙!$L$375</definedName>
    <definedName name="belugabun364">変更別紙!$L$376</definedName>
    <definedName name="belugabun365">変更別紙!$L$377</definedName>
    <definedName name="belugabun366">変更別紙!$L$378</definedName>
    <definedName name="belugabun367">変更別紙!$L$379</definedName>
    <definedName name="belugabun368">変更別紙!$L$380</definedName>
    <definedName name="belugabun369">変更別紙!$L$381</definedName>
    <definedName name="belugabun370">変更別紙!$L$382</definedName>
    <definedName name="belugabun371">変更別紙!$L$383</definedName>
    <definedName name="belugabun372">変更別紙!$L$384</definedName>
    <definedName name="belugabun373">変更別紙!$L$385</definedName>
    <definedName name="belugabun374">変更別紙!$L$386</definedName>
    <definedName name="belugabun375">変更別紙!$L$387</definedName>
    <definedName name="belugabun376">変更別紙!$L$388</definedName>
    <definedName name="belugabun377">変更別紙!$L$389</definedName>
    <definedName name="belugabun378">変更別紙!$L$390</definedName>
    <definedName name="belugabun379">変更別紙!$L$391</definedName>
    <definedName name="belugabun380">変更別紙!$L$392</definedName>
    <definedName name="belugabun381">変更別紙!$L$393</definedName>
    <definedName name="belugabun382">変更別紙!$L$394</definedName>
    <definedName name="belugabun383">変更別紙!$L$395</definedName>
    <definedName name="belugabun384">変更別紙!$L$396</definedName>
    <definedName name="belugabun385">変更別紙!$L$397</definedName>
    <definedName name="belugabun386">変更別紙!$L$398</definedName>
    <definedName name="belugabun387">変更別紙!$L$399</definedName>
    <definedName name="belugabun388">変更別紙!$L$400</definedName>
    <definedName name="belugabun389">変更別紙!$L$401</definedName>
    <definedName name="belugabun390">変更別紙!$L$402</definedName>
    <definedName name="belugabun391">変更別紙!$L$403</definedName>
    <definedName name="belugabun392">変更別紙!$L$404</definedName>
    <definedName name="belugabun393">変更別紙!$L$405</definedName>
    <definedName name="belugabun394">変更別紙!$L$406</definedName>
    <definedName name="belugabun395">変更別紙!$L$407</definedName>
    <definedName name="belugabun396">変更別紙!$L$408</definedName>
    <definedName name="belugabun397">変更別紙!$L$409</definedName>
    <definedName name="belugabun398">変更別紙!$L$410</definedName>
    <definedName name="belugabun399">変更別紙!$L$411</definedName>
    <definedName name="belugabun400">変更別紙!$L$412</definedName>
    <definedName name="belugabun401">変更別紙!$L$413</definedName>
    <definedName name="belugabun402">変更別紙!$L$414</definedName>
    <definedName name="belugabun403">変更別紙!$L$415</definedName>
    <definedName name="belugabun404">変更別紙!$L$416</definedName>
    <definedName name="belugabun405">変更別紙!$L$417</definedName>
    <definedName name="belugabun406">変更別紙!$L$418</definedName>
    <definedName name="belugabun407">変更別紙!$L$419</definedName>
    <definedName name="belugabun408">変更別紙!$L$420</definedName>
    <definedName name="belugabun409">変更別紙!$L$421</definedName>
    <definedName name="belugabun410">変更別紙!$L$422</definedName>
    <definedName name="belugabun411">変更別紙!$L$423</definedName>
    <definedName name="belugabun412">変更別紙!$L$424</definedName>
    <definedName name="belugabun413">変更別紙!$L$425</definedName>
    <definedName name="belugabun414">変更別紙!$L$426</definedName>
    <definedName name="belugabun415">変更別紙!$L$427</definedName>
    <definedName name="belugabun416">変更別紙!$L$428</definedName>
    <definedName name="belugabun417">変更別紙!$L$429</definedName>
    <definedName name="belugabun418">変更別紙!$L$430</definedName>
    <definedName name="belugabun419">変更別紙!$L$431</definedName>
    <definedName name="belugabun420">変更別紙!$L$432</definedName>
    <definedName name="belugabun421">変更別紙!$L$433</definedName>
    <definedName name="belugabun422">変更別紙!$L$434</definedName>
    <definedName name="belugabun423">変更別紙!$L$435</definedName>
    <definedName name="belugabun424">変更別紙!$L$436</definedName>
    <definedName name="belugabun425">変更別紙!$L$437</definedName>
    <definedName name="belugabun426">変更別紙!$L$438</definedName>
    <definedName name="belugabun427">変更別紙!$L$439</definedName>
    <definedName name="belugabun428">変更別紙!$L$440</definedName>
    <definedName name="belugabun429">変更別紙!$L$441</definedName>
    <definedName name="belugabun430">変更別紙!$L$442</definedName>
    <definedName name="belugabun431">変更別紙!$L$443</definedName>
    <definedName name="belugabun432">変更別紙!$L$444</definedName>
    <definedName name="belugabun433">変更別紙!$L$445</definedName>
    <definedName name="belugabun434">変更別紙!$L$446</definedName>
    <definedName name="belugabun435">変更別紙!$L$447</definedName>
    <definedName name="belugabun436">変更別紙!$L$448</definedName>
    <definedName name="belugabun437">変更別紙!$L$449</definedName>
    <definedName name="belugabun438">変更別紙!$L$450</definedName>
    <definedName name="belugabun439">変更別紙!$L$451</definedName>
    <definedName name="belugabun440">変更別紙!$L$452</definedName>
    <definedName name="belugabun441">変更別紙!$L$453</definedName>
    <definedName name="belugabun442">変更別紙!$L$454</definedName>
    <definedName name="belugabun443">変更別紙!$L$455</definedName>
    <definedName name="belugabun444">変更別紙!$L$456</definedName>
    <definedName name="belugabun445">変更別紙!$L$457</definedName>
    <definedName name="belugabun446">変更別紙!$L$458</definedName>
    <definedName name="belugabun447">変更別紙!$L$459</definedName>
    <definedName name="belugabun448">変更別紙!$L$460</definedName>
    <definedName name="belugabun449">変更別紙!$L$461</definedName>
    <definedName name="belugabun450">変更別紙!$L$462</definedName>
    <definedName name="belugabun451">変更別紙!$L$463</definedName>
    <definedName name="belugabun452">変更別紙!$L$464</definedName>
    <definedName name="belugabun453">変更別紙!$L$465</definedName>
    <definedName name="belugabun454">変更別紙!$L$466</definedName>
    <definedName name="belugabun455">変更別紙!$L$467</definedName>
    <definedName name="belugabun456">変更別紙!$L$468</definedName>
    <definedName name="belugabun457">変更別紙!$L$469</definedName>
    <definedName name="belugabun458">変更別紙!$L$470</definedName>
    <definedName name="belugabun459">変更別紙!$L$471</definedName>
    <definedName name="belugabun460">変更別紙!$L$472</definedName>
    <definedName name="belugabun461">変更別紙!$L$473</definedName>
    <definedName name="belugabun462">変更別紙!$L$474</definedName>
    <definedName name="belugabun463">変更別紙!$L$475</definedName>
    <definedName name="belugabun464">変更別紙!$L$476</definedName>
    <definedName name="belugabun465">変更別紙!$L$477</definedName>
    <definedName name="belugabun466">変更別紙!$L$478</definedName>
    <definedName name="belugabun467">変更別紙!$L$479</definedName>
    <definedName name="belugabun468">変更別紙!$L$480</definedName>
    <definedName name="belugabun469">変更別紙!$L$481</definedName>
    <definedName name="belugabun470">変更別紙!$L$482</definedName>
    <definedName name="belugabun471">変更別紙!$L$483</definedName>
    <definedName name="belugabun472">変更別紙!$L$484</definedName>
    <definedName name="belugabun473">変更別紙!$L$485</definedName>
    <definedName name="belugabun474">変更別紙!$L$486</definedName>
    <definedName name="belugabun475">変更別紙!$L$487</definedName>
    <definedName name="belugabun476">変更別紙!$L$488</definedName>
    <definedName name="belugabun477">変更別紙!$L$489</definedName>
    <definedName name="belugabun478">変更別紙!$L$490</definedName>
    <definedName name="belugabun479">変更別紙!$L$491</definedName>
    <definedName name="belugabun480">変更別紙!$L$492</definedName>
    <definedName name="belugabun481">変更別紙!$L$493</definedName>
    <definedName name="belugabun482">変更別紙!$L$494</definedName>
    <definedName name="belugabun483">変更別紙!$L$495</definedName>
    <definedName name="belugabun484">変更別紙!$L$496</definedName>
    <definedName name="belugabun485">変更別紙!$L$497</definedName>
    <definedName name="belugabun486">変更別紙!$L$498</definedName>
    <definedName name="belugabun487">変更別紙!$L$499</definedName>
    <definedName name="belugabun488">変更別紙!$L$500</definedName>
    <definedName name="belugabun489">変更別紙!$L$501</definedName>
    <definedName name="belugabun490">変更別紙!$L$502</definedName>
    <definedName name="belugabun491">変更別紙!$L$503</definedName>
    <definedName name="belugabun492">変更別紙!$L$504</definedName>
    <definedName name="belugabun493">変更別紙!$L$505</definedName>
    <definedName name="belugabun494">変更別紙!$L$506</definedName>
    <definedName name="belugabun495">変更別紙!$L$507</definedName>
    <definedName name="belugabun496">変更別紙!$L$508</definedName>
    <definedName name="belugabun497">変更別紙!$L$509</definedName>
    <definedName name="belugabun498">変更別紙!$L$510</definedName>
    <definedName name="belugabun499">変更別紙!$L$511</definedName>
    <definedName name="belugabun500">変更別紙!$L$512</definedName>
    <definedName name="belugabunyn001">変更別紙!$K$13</definedName>
    <definedName name="belugabunyn002">変更別紙!$K$14</definedName>
    <definedName name="belugabunyn003">変更別紙!$K$15</definedName>
    <definedName name="belugabunyn004">変更別紙!$K$16</definedName>
    <definedName name="belugabunyn005">変更別紙!$K$17</definedName>
    <definedName name="belugabunyn006">変更別紙!$K$18</definedName>
    <definedName name="belugabunyn007">変更別紙!$K$19</definedName>
    <definedName name="belugabunyn008">変更別紙!$K$20</definedName>
    <definedName name="belugabunyn009">変更別紙!$K$21</definedName>
    <definedName name="belugabunyn010">変更別紙!$K$22</definedName>
    <definedName name="belugabunyn011">変更別紙!$K$23</definedName>
    <definedName name="belugabunyn012">変更別紙!$K$24</definedName>
    <definedName name="belugabunyn013">変更別紙!$K$25</definedName>
    <definedName name="belugabunyn014">変更別紙!$K$26</definedName>
    <definedName name="belugabunyn015">変更別紙!$K$27</definedName>
    <definedName name="belugabunyn016">変更別紙!$K$28</definedName>
    <definedName name="belugabunyn017">変更別紙!$K$29</definedName>
    <definedName name="belugabunyn018">変更別紙!$K$30</definedName>
    <definedName name="belugabunyn019">変更別紙!$K$31</definedName>
    <definedName name="belugabunyn020">変更別紙!$K$32</definedName>
    <definedName name="belugabunyn021">変更別紙!$K$33</definedName>
    <definedName name="belugabunyn022">変更別紙!$K$34</definedName>
    <definedName name="belugabunyn023">変更別紙!$K$35</definedName>
    <definedName name="belugabunyn024">変更別紙!$K$36</definedName>
    <definedName name="belugabunyn025">変更別紙!$K$37</definedName>
    <definedName name="belugabunyn026">変更別紙!$K$38</definedName>
    <definedName name="belugabunyn027">変更別紙!$K$39</definedName>
    <definedName name="belugabunyn028">変更別紙!$K$40</definedName>
    <definedName name="belugabunyn029">変更別紙!$K$41</definedName>
    <definedName name="belugabunyn030">変更別紙!$K$42</definedName>
    <definedName name="belugabunyn031">変更別紙!$K$43</definedName>
    <definedName name="belugabunyn032">変更別紙!$K$44</definedName>
    <definedName name="belugabunyn033">変更別紙!$K$45</definedName>
    <definedName name="belugabunyn034">変更別紙!$K$46</definedName>
    <definedName name="belugabunyn035">変更別紙!$K$47</definedName>
    <definedName name="belugabunyn036">変更別紙!$K$48</definedName>
    <definedName name="belugabunyn037">変更別紙!$K$49</definedName>
    <definedName name="belugabunyn038">変更別紙!$K$50</definedName>
    <definedName name="belugabunyn039">変更別紙!$K$51</definedName>
    <definedName name="belugabunyn040">変更別紙!$K$52</definedName>
    <definedName name="belugabunyn041">変更別紙!$K$53</definedName>
    <definedName name="belugabunyn042">変更別紙!$K$54</definedName>
    <definedName name="belugabunyn043">変更別紙!$K$55</definedName>
    <definedName name="belugabunyn044">変更別紙!$K$56</definedName>
    <definedName name="belugabunyn045">変更別紙!$K$57</definedName>
    <definedName name="belugabunyn046">変更別紙!$K$58</definedName>
    <definedName name="belugabunyn047">変更別紙!$K$59</definedName>
    <definedName name="belugabunyn048">変更別紙!$K$60</definedName>
    <definedName name="belugabunyn049">変更別紙!$K$61</definedName>
    <definedName name="belugabunyn050">変更別紙!$K$62</definedName>
    <definedName name="belugabunyn051">変更別紙!$K$63</definedName>
    <definedName name="belugabunyn052">変更別紙!$K$64</definedName>
    <definedName name="belugabunyn053">変更別紙!$K$65</definedName>
    <definedName name="belugabunyn054">変更別紙!$K$66</definedName>
    <definedName name="belugabunyn055">変更別紙!$K$67</definedName>
    <definedName name="belugabunyn056">変更別紙!$K$68</definedName>
    <definedName name="belugabunyn057">変更別紙!$K$69</definedName>
    <definedName name="belugabunyn058">変更別紙!$K$70</definedName>
    <definedName name="belugabunyn059">変更別紙!$K$71</definedName>
    <definedName name="belugabunyn060">変更別紙!$K$72</definedName>
    <definedName name="belugabunyn061">変更別紙!$K$73</definedName>
    <definedName name="belugabunyn062">変更別紙!$K$74</definedName>
    <definedName name="belugabunyn063">変更別紙!$K$75</definedName>
    <definedName name="belugabunyn064">変更別紙!$K$76</definedName>
    <definedName name="belugabunyn065">変更別紙!$K$77</definedName>
    <definedName name="belugabunyn066">変更別紙!$K$78</definedName>
    <definedName name="belugabunyn067">変更別紙!$K$79</definedName>
    <definedName name="belugabunyn068">変更別紙!$K$80</definedName>
    <definedName name="belugabunyn069">変更別紙!$K$81</definedName>
    <definedName name="belugabunyn070">変更別紙!$K$82</definedName>
    <definedName name="belugabunyn071">変更別紙!$K$83</definedName>
    <definedName name="belugabunyn072">変更別紙!$K$84</definedName>
    <definedName name="belugabunyn073">変更別紙!$K$85</definedName>
    <definedName name="belugabunyn074">変更別紙!$K$86</definedName>
    <definedName name="belugabunyn075">変更別紙!$K$87</definedName>
    <definedName name="belugabunyn076">変更別紙!$K$88</definedName>
    <definedName name="belugabunyn077">変更別紙!$K$89</definedName>
    <definedName name="belugabunyn078">変更別紙!$K$90</definedName>
    <definedName name="belugabunyn079">変更別紙!$K$91</definedName>
    <definedName name="belugabunyn080">変更別紙!$K$92</definedName>
    <definedName name="belugabunyn081">変更別紙!$K$93</definedName>
    <definedName name="belugabunyn082">変更別紙!$K$94</definedName>
    <definedName name="belugabunyn083">変更別紙!$K$95</definedName>
    <definedName name="belugabunyn084">変更別紙!$K$96</definedName>
    <definedName name="belugabunyn085">変更別紙!$K$97</definedName>
    <definedName name="belugabunyn086">変更別紙!$K$98</definedName>
    <definedName name="belugabunyn087">変更別紙!$K$99</definedName>
    <definedName name="belugabunyn088">変更別紙!$K$100</definedName>
    <definedName name="belugabunyn089">変更別紙!$K$101</definedName>
    <definedName name="belugabunyn090">変更別紙!$K$102</definedName>
    <definedName name="belugabunyn091">変更別紙!$K$103</definedName>
    <definedName name="belugabunyn092">変更別紙!$K$104</definedName>
    <definedName name="belugabunyn093">変更別紙!$K$105</definedName>
    <definedName name="belugabunyn094">変更別紙!$K$106</definedName>
    <definedName name="belugabunyn095">変更別紙!$K$107</definedName>
    <definedName name="belugabunyn096">変更別紙!$K$108</definedName>
    <definedName name="belugabunyn097">変更別紙!$K$109</definedName>
    <definedName name="belugabunyn098">変更別紙!$K$110</definedName>
    <definedName name="belugabunyn099">変更別紙!$K$111</definedName>
    <definedName name="belugabunyn100">変更別紙!$K$112</definedName>
    <definedName name="belugabunyn101">変更別紙!$K$113</definedName>
    <definedName name="belugabunyn102">変更別紙!$K$114</definedName>
    <definedName name="belugabunyn103">変更別紙!$K$115</definedName>
    <definedName name="belugabunyn104">変更別紙!$K$116</definedName>
    <definedName name="belugabunyn105">変更別紙!$K$117</definedName>
    <definedName name="belugabunyn106">変更別紙!$K$118</definedName>
    <definedName name="belugabunyn107">変更別紙!$K$119</definedName>
    <definedName name="belugabunyn108">変更別紙!$K$120</definedName>
    <definedName name="belugabunyn109">変更別紙!$K$121</definedName>
    <definedName name="belugabunyn110">変更別紙!$K$122</definedName>
    <definedName name="belugabunyn111">変更別紙!$K$123</definedName>
    <definedName name="belugabunyn112">変更別紙!$K$124</definedName>
    <definedName name="belugabunyn113">変更別紙!$K$125</definedName>
    <definedName name="belugabunyn114">変更別紙!$K$126</definedName>
    <definedName name="belugabunyn115">変更別紙!$K$127</definedName>
    <definedName name="belugabunyn116">変更別紙!$K$128</definedName>
    <definedName name="belugabunyn117">変更別紙!$K$129</definedName>
    <definedName name="belugabunyn118">変更別紙!$K$130</definedName>
    <definedName name="belugabunyn119">変更別紙!$K$131</definedName>
    <definedName name="belugabunyn120">変更別紙!$K$132</definedName>
    <definedName name="belugabunyn121">変更別紙!$K$133</definedName>
    <definedName name="belugabunyn122">変更別紙!$K$134</definedName>
    <definedName name="belugabunyn123">変更別紙!$K$135</definedName>
    <definedName name="belugabunyn124">変更別紙!$K$136</definedName>
    <definedName name="belugabunyn125">変更別紙!$K$137</definedName>
    <definedName name="belugabunyn126">変更別紙!$K$138</definedName>
    <definedName name="belugabunyn127">変更別紙!$K$139</definedName>
    <definedName name="belugabunyn128">変更別紙!$K$140</definedName>
    <definedName name="belugabunyn129">変更別紙!$K$141</definedName>
    <definedName name="belugabunyn130">変更別紙!$K$142</definedName>
    <definedName name="belugabunyn131">変更別紙!$K$143</definedName>
    <definedName name="belugabunyn132">変更別紙!$K$144</definedName>
    <definedName name="belugabunyn133">変更別紙!$K$145</definedName>
    <definedName name="belugabunyn134">変更別紙!$K$146</definedName>
    <definedName name="belugabunyn135">変更別紙!$K$147</definedName>
    <definedName name="belugabunyn136">変更別紙!$K$148</definedName>
    <definedName name="belugabunyn137">変更別紙!$K$149</definedName>
    <definedName name="belugabunyn138">変更別紙!$K$150</definedName>
    <definedName name="belugabunyn139">変更別紙!$K$151</definedName>
    <definedName name="belugabunyn140">変更別紙!$K$152</definedName>
    <definedName name="belugabunyn141">変更別紙!$K$153</definedName>
    <definedName name="belugabunyn142">変更別紙!$K$154</definedName>
    <definedName name="belugabunyn143">変更別紙!$K$155</definedName>
    <definedName name="belugabunyn144">変更別紙!$K$156</definedName>
    <definedName name="belugabunyn145">変更別紙!$K$157</definedName>
    <definedName name="belugabunyn146">変更別紙!$K$158</definedName>
    <definedName name="belugabunyn147">変更別紙!$K$159</definedName>
    <definedName name="belugabunyn148">変更別紙!$K$160</definedName>
    <definedName name="belugabunyn149">変更別紙!$K$161</definedName>
    <definedName name="belugabunyn150">変更別紙!$K$162</definedName>
    <definedName name="belugabunyn151">変更別紙!$K$163</definedName>
    <definedName name="belugabunyn152">変更別紙!$K$164</definedName>
    <definedName name="belugabunyn153">変更別紙!$K$165</definedName>
    <definedName name="belugabunyn154">変更別紙!$K$166</definedName>
    <definedName name="belugabunyn155">変更別紙!$K$167</definedName>
    <definedName name="belugabunyn156">変更別紙!$K$168</definedName>
    <definedName name="belugabunyn157">変更別紙!$K$169</definedName>
    <definedName name="belugabunyn158">変更別紙!$K$170</definedName>
    <definedName name="belugabunyn159">変更別紙!$K$171</definedName>
    <definedName name="belugabunyn160">変更別紙!$K$172</definedName>
    <definedName name="belugabunyn161">変更別紙!$K$173</definedName>
    <definedName name="belugabunyn162">変更別紙!$K$174</definedName>
    <definedName name="belugabunyn163">変更別紙!$K$175</definedName>
    <definedName name="belugabunyn164">変更別紙!$K$176</definedName>
    <definedName name="belugabunyn165">変更別紙!$K$177</definedName>
    <definedName name="belugabunyn166">変更別紙!$K$178</definedName>
    <definedName name="belugabunyn167">変更別紙!$K$179</definedName>
    <definedName name="belugabunyn168">変更別紙!$K$180</definedName>
    <definedName name="belugabunyn169">変更別紙!$K$181</definedName>
    <definedName name="belugabunyn170">変更別紙!$K$182</definedName>
    <definedName name="belugabunyn171">変更別紙!$K$183</definedName>
    <definedName name="belugabunyn172">変更別紙!$K$184</definedName>
    <definedName name="belugabunyn173">変更別紙!$K$185</definedName>
    <definedName name="belugabunyn174">変更別紙!$K$186</definedName>
    <definedName name="belugabunyn175">変更別紙!$K$187</definedName>
    <definedName name="belugabunyn176">変更別紙!$K$188</definedName>
    <definedName name="belugabunyn177">変更別紙!$K$189</definedName>
    <definedName name="belugabunyn178">変更別紙!$K$190</definedName>
    <definedName name="belugabunyn179">変更別紙!$K$191</definedName>
    <definedName name="belugabunyn180">変更別紙!$K$192</definedName>
    <definedName name="belugabunyn181">変更別紙!$K$193</definedName>
    <definedName name="belugabunyn182">変更別紙!$K$194</definedName>
    <definedName name="belugabunyn183">変更別紙!$K$195</definedName>
    <definedName name="belugabunyn184">変更別紙!$K$196</definedName>
    <definedName name="belugabunyn185">変更別紙!$K$197</definedName>
    <definedName name="belugabunyn186">変更別紙!$K$198</definedName>
    <definedName name="belugabunyn187">変更別紙!$K$199</definedName>
    <definedName name="belugabunyn188">変更別紙!$K$200</definedName>
    <definedName name="belugabunyn189">変更別紙!$K$201</definedName>
    <definedName name="belugabunyn190">変更別紙!$K$202</definedName>
    <definedName name="belugabunyn191">変更別紙!$K$203</definedName>
    <definedName name="belugabunyn192">変更別紙!$K$204</definedName>
    <definedName name="belugabunyn193">変更別紙!$K$205</definedName>
    <definedName name="belugabunyn194">変更別紙!$K$206</definedName>
    <definedName name="belugabunyn195">変更別紙!$K$207</definedName>
    <definedName name="belugabunyn196">変更別紙!$K$208</definedName>
    <definedName name="belugabunyn197">変更別紙!$K$209</definedName>
    <definedName name="belugabunyn198">変更別紙!$K$210</definedName>
    <definedName name="belugabunyn199">変更別紙!$K$211</definedName>
    <definedName name="belugabunyn200">変更別紙!$K$212</definedName>
    <definedName name="belugabunyn201">変更別紙!$K$213</definedName>
    <definedName name="belugabunyn202">変更別紙!$K$214</definedName>
    <definedName name="belugabunyn203">変更別紙!$K$215</definedName>
    <definedName name="belugabunyn204">変更別紙!$K$216</definedName>
    <definedName name="belugabunyn205">変更別紙!$K$217</definedName>
    <definedName name="belugabunyn206">変更別紙!$K$218</definedName>
    <definedName name="belugabunyn207">変更別紙!$K$219</definedName>
    <definedName name="belugabunyn208">変更別紙!$K$220</definedName>
    <definedName name="belugabunyn209">変更別紙!$K$221</definedName>
    <definedName name="belugabunyn210">変更別紙!$K$222</definedName>
    <definedName name="belugabunyn211">変更別紙!$K$223</definedName>
    <definedName name="belugabunyn212">変更別紙!$K$224</definedName>
    <definedName name="belugabunyn213">変更別紙!$K$225</definedName>
    <definedName name="belugabunyn214">変更別紙!$K$226</definedName>
    <definedName name="belugabunyn215">変更別紙!$K$227</definedName>
    <definedName name="belugabunyn216">変更別紙!$K$228</definedName>
    <definedName name="belugabunyn217">変更別紙!$K$229</definedName>
    <definedName name="belugabunyn218">変更別紙!$K$230</definedName>
    <definedName name="belugabunyn219">変更別紙!$K$231</definedName>
    <definedName name="belugabunyn220">変更別紙!$K$232</definedName>
    <definedName name="belugabunyn221">変更別紙!$K$233</definedName>
    <definedName name="belugabunyn222">変更別紙!$K$234</definedName>
    <definedName name="belugabunyn223">変更別紙!$K$235</definedName>
    <definedName name="belugabunyn224">変更別紙!$K$236</definedName>
    <definedName name="belugabunyn225">変更別紙!$K$237</definedName>
    <definedName name="belugabunyn226">変更別紙!$K$238</definedName>
    <definedName name="belugabunyn227">変更別紙!$K$239</definedName>
    <definedName name="belugabunyn228">変更別紙!$K$240</definedName>
    <definedName name="belugabunyn229">変更別紙!$K$241</definedName>
    <definedName name="belugabunyn230">変更別紙!$K$242</definedName>
    <definedName name="belugabunyn231">変更別紙!$K$243</definedName>
    <definedName name="belugabunyn232">変更別紙!$K$244</definedName>
    <definedName name="belugabunyn233">変更別紙!$K$245</definedName>
    <definedName name="belugabunyn234">変更別紙!$K$246</definedName>
    <definedName name="belugabunyn235">変更別紙!$K$247</definedName>
    <definedName name="belugabunyn236">変更別紙!$K$248</definedName>
    <definedName name="belugabunyn237">変更別紙!$K$249</definedName>
    <definedName name="belugabunyn238">変更別紙!$K$250</definedName>
    <definedName name="belugabunyn239">変更別紙!$K$251</definedName>
    <definedName name="belugabunyn240">変更別紙!$K$252</definedName>
    <definedName name="belugabunyn241">変更別紙!$K$253</definedName>
    <definedName name="belugabunyn242">変更別紙!$K$254</definedName>
    <definedName name="belugabunyn243">変更別紙!$K$255</definedName>
    <definedName name="belugabunyn244">変更別紙!$K$256</definedName>
    <definedName name="belugabunyn245">変更別紙!$K$257</definedName>
    <definedName name="belugabunyn246">変更別紙!$K$258</definedName>
    <definedName name="belugabunyn247">変更別紙!$K$259</definedName>
    <definedName name="belugabunyn248">変更別紙!$K$260</definedName>
    <definedName name="belugabunyn249">変更別紙!$K$261</definedName>
    <definedName name="belugabunyn250">変更別紙!$K$262</definedName>
    <definedName name="belugabunyn251">変更別紙!$K$263</definedName>
    <definedName name="belugabunyn252">変更別紙!$K$264</definedName>
    <definedName name="belugabunyn253">変更別紙!$K$265</definedName>
    <definedName name="belugabunyn254">変更別紙!$K$266</definedName>
    <definedName name="belugabunyn255">変更別紙!$K$267</definedName>
    <definedName name="belugabunyn256">変更別紙!$K$268</definedName>
    <definedName name="belugabunyn257">変更別紙!$K$269</definedName>
    <definedName name="belugabunyn258">変更別紙!$K$270</definedName>
    <definedName name="belugabunyn259">変更別紙!$K$271</definedName>
    <definedName name="belugabunyn260">変更別紙!$K$272</definedName>
    <definedName name="belugabunyn261">変更別紙!$K$273</definedName>
    <definedName name="belugabunyn262">変更別紙!$K$274</definedName>
    <definedName name="belugabunyn263">変更別紙!$K$275</definedName>
    <definedName name="belugabunyn264">変更別紙!$K$276</definedName>
    <definedName name="belugabunyn265">変更別紙!$K$277</definedName>
    <definedName name="belugabunyn266">変更別紙!$K$278</definedName>
    <definedName name="belugabunyn267">変更別紙!$K$279</definedName>
    <definedName name="belugabunyn268">変更別紙!$K$280</definedName>
    <definedName name="belugabunyn269">変更別紙!$K$281</definedName>
    <definedName name="belugabunyn270">変更別紙!$K$282</definedName>
    <definedName name="belugabunyn271">変更別紙!$K$283</definedName>
    <definedName name="belugabunyn272">変更別紙!$K$284</definedName>
    <definedName name="belugabunyn273">変更別紙!$K$285</definedName>
    <definedName name="belugabunyn274">変更別紙!$K$286</definedName>
    <definedName name="belugabunyn275">変更別紙!$K$287</definedName>
    <definedName name="belugabunyn276">変更別紙!$K$288</definedName>
    <definedName name="belugabunyn277">変更別紙!$K$289</definedName>
    <definedName name="belugabunyn278">変更別紙!$K$290</definedName>
    <definedName name="belugabunyn279">変更別紙!$K$291</definedName>
    <definedName name="belugabunyn280">変更別紙!$K$292</definedName>
    <definedName name="belugabunyn281">変更別紙!$K$293</definedName>
    <definedName name="belugabunyn282">変更別紙!$K$294</definedName>
    <definedName name="belugabunyn283">変更別紙!$K$295</definedName>
    <definedName name="belugabunyn284">変更別紙!$K$296</definedName>
    <definedName name="belugabunyn285">変更別紙!$K$297</definedName>
    <definedName name="belugabunyn286">変更別紙!$K$298</definedName>
    <definedName name="belugabunyn287">変更別紙!$K$299</definedName>
    <definedName name="belugabunyn288">変更別紙!$K$300</definedName>
    <definedName name="belugabunyn289">変更別紙!$K$301</definedName>
    <definedName name="belugabunyn290">変更別紙!$K$302</definedName>
    <definedName name="belugabunyn291">変更別紙!$K$303</definedName>
    <definedName name="belugabunyn292">変更別紙!$K$304</definedName>
    <definedName name="belugabunyn293">変更別紙!$K$305</definedName>
    <definedName name="belugabunyn294">変更別紙!$K$306</definedName>
    <definedName name="belugabunyn295">変更別紙!$K$307</definedName>
    <definedName name="belugabunyn296">変更別紙!$K$308</definedName>
    <definedName name="belugabunyn297">変更別紙!$K$309</definedName>
    <definedName name="belugabunyn298">変更別紙!$K$310</definedName>
    <definedName name="belugabunyn299">変更別紙!$K$311</definedName>
    <definedName name="belugabunyn300">変更別紙!$K$312</definedName>
    <definedName name="belugabunyn301">変更別紙!$K$313</definedName>
    <definedName name="belugabunyn302">変更別紙!$K$314</definedName>
    <definedName name="belugabunyn303">変更別紙!$K$315</definedName>
    <definedName name="belugabunyn304">変更別紙!$K$316</definedName>
    <definedName name="belugabunyn305">変更別紙!$K$317</definedName>
    <definedName name="belugabunyn306">変更別紙!$K$318</definedName>
    <definedName name="belugabunyn307">変更別紙!$K$319</definedName>
    <definedName name="belugabunyn308">変更別紙!$K$320</definedName>
    <definedName name="belugabunyn309">変更別紙!$K$321</definedName>
    <definedName name="belugabunyn310">変更別紙!$K$322</definedName>
    <definedName name="belugabunyn311">変更別紙!$K$323</definedName>
    <definedName name="belugabunyn312">変更別紙!$K$324</definedName>
    <definedName name="belugabunyn313">変更別紙!$K$325</definedName>
    <definedName name="belugabunyn314">変更別紙!$K$326</definedName>
    <definedName name="belugabunyn315">変更別紙!$K$327</definedName>
    <definedName name="belugabunyn316">変更別紙!$K$328</definedName>
    <definedName name="belugabunyn317">変更別紙!$K$329</definedName>
    <definedName name="belugabunyn318">変更別紙!$K$330</definedName>
    <definedName name="belugabunyn319">変更別紙!$K$331</definedName>
    <definedName name="belugabunyn320">変更別紙!$K$332</definedName>
    <definedName name="belugabunyn321">変更別紙!$K$333</definedName>
    <definedName name="belugabunyn322">変更別紙!$K$334</definedName>
    <definedName name="belugabunyn323">変更別紙!$K$335</definedName>
    <definedName name="belugabunyn324">変更別紙!$K$336</definedName>
    <definedName name="belugabunyn325">変更別紙!$K$337</definedName>
    <definedName name="belugabunyn326">変更別紙!$K$338</definedName>
    <definedName name="belugabunyn327">変更別紙!$K$339</definedName>
    <definedName name="belugabunyn328">変更別紙!$K$340</definedName>
    <definedName name="belugabunyn329">変更別紙!$K$341</definedName>
    <definedName name="belugabunyn330">変更別紙!$K$342</definedName>
    <definedName name="belugabunyn331">変更別紙!$K$343</definedName>
    <definedName name="belugabunyn332">変更別紙!$K$344</definedName>
    <definedName name="belugabunyn333">変更別紙!$K$345</definedName>
    <definedName name="belugabunyn334">変更別紙!$K$346</definedName>
    <definedName name="belugabunyn335">変更別紙!$K$347</definedName>
    <definedName name="belugabunyn336">変更別紙!$K$348</definedName>
    <definedName name="belugabunyn337">変更別紙!$K$349</definedName>
    <definedName name="belugabunyn338">変更別紙!$K$350</definedName>
    <definedName name="belugabunyn339">変更別紙!$K$351</definedName>
    <definedName name="belugabunyn340">変更別紙!$K$352</definedName>
    <definedName name="belugabunyn341">変更別紙!$K$353</definedName>
    <definedName name="belugabunyn342">変更別紙!$K$354</definedName>
    <definedName name="belugabunyn343">変更別紙!$K$355</definedName>
    <definedName name="belugabunyn344">変更別紙!$K$356</definedName>
    <definedName name="belugabunyn345">変更別紙!$K$357</definedName>
    <definedName name="belugabunyn346">変更別紙!$K$358</definedName>
    <definedName name="belugabunyn347">変更別紙!$K$359</definedName>
    <definedName name="belugabunyn348">変更別紙!$K$360</definedName>
    <definedName name="belugabunyn349">変更別紙!$K$361</definedName>
    <definedName name="belugabunyn350">変更別紙!$K$362</definedName>
    <definedName name="belugabunyn351">変更別紙!$K$363</definedName>
    <definedName name="belugabunyn352">変更別紙!$K$364</definedName>
    <definedName name="belugabunyn353">変更別紙!$K$365</definedName>
    <definedName name="belugabunyn354">変更別紙!$K$366</definedName>
    <definedName name="belugabunyn355">変更別紙!$K$367</definedName>
    <definedName name="belugabunyn356">変更別紙!$K$368</definedName>
    <definedName name="belugabunyn357">変更別紙!$K$369</definedName>
    <definedName name="belugabunyn358">変更別紙!$K$370</definedName>
    <definedName name="belugabunyn359">変更別紙!$K$371</definedName>
    <definedName name="belugabunyn360">変更別紙!$K$372</definedName>
    <definedName name="belugabunyn361">変更別紙!$K$373</definedName>
    <definedName name="belugabunyn362">変更別紙!$K$374</definedName>
    <definedName name="belugabunyn363">変更別紙!$K$375</definedName>
    <definedName name="belugabunyn364">変更別紙!$K$376</definedName>
    <definedName name="belugabunyn365">変更別紙!$K$377</definedName>
    <definedName name="belugabunyn366">変更別紙!$K$378</definedName>
    <definedName name="belugabunyn367">変更別紙!$K$379</definedName>
    <definedName name="belugabunyn368">変更別紙!$K$380</definedName>
    <definedName name="belugabunyn369">変更別紙!$K$381</definedName>
    <definedName name="belugabunyn370">変更別紙!$K$382</definedName>
    <definedName name="belugabunyn371">変更別紙!$K$383</definedName>
    <definedName name="belugabunyn372">変更別紙!$K$384</definedName>
    <definedName name="belugabunyn373">変更別紙!$K$385</definedName>
    <definedName name="belugabunyn374">変更別紙!$K$386</definedName>
    <definedName name="belugabunyn375">変更別紙!$K$387</definedName>
    <definedName name="belugabunyn376">変更別紙!$K$388</definedName>
    <definedName name="belugabunyn377">変更別紙!$K$389</definedName>
    <definedName name="belugabunyn378">変更別紙!$K$390</definedName>
    <definedName name="belugabunyn379">変更別紙!$K$391</definedName>
    <definedName name="belugabunyn380">変更別紙!$K$392</definedName>
    <definedName name="belugabunyn381">変更別紙!$K$393</definedName>
    <definedName name="belugabunyn382">変更別紙!$K$394</definedName>
    <definedName name="belugabunyn383">変更別紙!$K$395</definedName>
    <definedName name="belugabunyn384">変更別紙!$K$396</definedName>
    <definedName name="belugabunyn385">変更別紙!$K$397</definedName>
    <definedName name="belugabunyn386">変更別紙!$K$398</definedName>
    <definedName name="belugabunyn387">変更別紙!$K$399</definedName>
    <definedName name="belugabunyn388">変更別紙!$K$400</definedName>
    <definedName name="belugabunyn389">変更別紙!$K$401</definedName>
    <definedName name="belugabunyn390">変更別紙!$K$402</definedName>
    <definedName name="belugabunyn391">変更別紙!$K$403</definedName>
    <definedName name="belugabunyn392">変更別紙!$K$404</definedName>
    <definedName name="belugabunyn393">変更別紙!$K$405</definedName>
    <definedName name="belugabunyn394">変更別紙!$K$406</definedName>
    <definedName name="belugabunyn395">変更別紙!$K$407</definedName>
    <definedName name="belugabunyn396">変更別紙!$K$408</definedName>
    <definedName name="belugabunyn397">変更別紙!$K$409</definedName>
    <definedName name="belugabunyn398">変更別紙!$K$410</definedName>
    <definedName name="belugabunyn399">変更別紙!$K$411</definedName>
    <definedName name="belugabunyn400">変更別紙!$K$412</definedName>
    <definedName name="belugabunyn401">変更別紙!$K$413</definedName>
    <definedName name="belugabunyn402">変更別紙!$K$414</definedName>
    <definedName name="belugabunyn403">変更別紙!$K$415</definedName>
    <definedName name="belugabunyn404">変更別紙!$K$416</definedName>
    <definedName name="belugabunyn405">変更別紙!$K$417</definedName>
    <definedName name="belugabunyn406">変更別紙!$K$418</definedName>
    <definedName name="belugabunyn407">変更別紙!$K$419</definedName>
    <definedName name="belugabunyn408">変更別紙!$K$420</definedName>
    <definedName name="belugabunyn409">変更別紙!$K$421</definedName>
    <definedName name="belugabunyn410">変更別紙!$K$422</definedName>
    <definedName name="belugabunyn411">変更別紙!$K$423</definedName>
    <definedName name="belugabunyn412">変更別紙!$K$424</definedName>
    <definedName name="belugabunyn413">変更別紙!$K$425</definedName>
    <definedName name="belugabunyn414">変更別紙!$K$426</definedName>
    <definedName name="belugabunyn415">変更別紙!$K$427</definedName>
    <definedName name="belugabunyn416">変更別紙!$K$428</definedName>
    <definedName name="belugabunyn417">変更別紙!$K$429</definedName>
    <definedName name="belugabunyn418">変更別紙!$K$430</definedName>
    <definedName name="belugabunyn419">変更別紙!$K$431</definedName>
    <definedName name="belugabunyn420">変更別紙!$K$432</definedName>
    <definedName name="belugabunyn421">変更別紙!$K$433</definedName>
    <definedName name="belugabunyn422">変更別紙!$K$434</definedName>
    <definedName name="belugabunyn423">変更別紙!$K$435</definedName>
    <definedName name="belugabunyn424">変更別紙!$K$436</definedName>
    <definedName name="belugabunyn425">変更別紙!$K$437</definedName>
    <definedName name="belugabunyn426">変更別紙!$K$438</definedName>
    <definedName name="belugabunyn427">変更別紙!$K$439</definedName>
    <definedName name="belugabunyn428">変更別紙!$K$440</definedName>
    <definedName name="belugabunyn429">変更別紙!$K$441</definedName>
    <definedName name="belugabunyn430">変更別紙!$K$442</definedName>
    <definedName name="belugabunyn431">変更別紙!$K$443</definedName>
    <definedName name="belugabunyn432">変更別紙!$K$444</definedName>
    <definedName name="belugabunyn433">変更別紙!$K$445</definedName>
    <definedName name="belugabunyn434">変更別紙!$K$446</definedName>
    <definedName name="belugabunyn435">変更別紙!$K$447</definedName>
    <definedName name="belugabunyn436">変更別紙!$K$448</definedName>
    <definedName name="belugabunyn437">変更別紙!$K$449</definedName>
    <definedName name="belugabunyn438">変更別紙!$K$450</definedName>
    <definedName name="belugabunyn439">変更別紙!$K$451</definedName>
    <definedName name="belugabunyn440">変更別紙!$K$452</definedName>
    <definedName name="belugabunyn441">変更別紙!$K$453</definedName>
    <definedName name="belugabunyn442">変更別紙!$K$454</definedName>
    <definedName name="belugabunyn443">変更別紙!$K$455</definedName>
    <definedName name="belugabunyn444">変更別紙!$K$456</definedName>
    <definedName name="belugabunyn445">変更別紙!$K$457</definedName>
    <definedName name="belugabunyn446">変更別紙!$K$458</definedName>
    <definedName name="belugabunyn447">変更別紙!$K$459</definedName>
    <definedName name="belugabunyn448">変更別紙!$K$460</definedName>
    <definedName name="belugabunyn449">変更別紙!$K$461</definedName>
    <definedName name="belugabunyn450">変更別紙!$K$462</definedName>
    <definedName name="belugabunyn451">変更別紙!$K$463</definedName>
    <definedName name="belugabunyn452">変更別紙!$K$464</definedName>
    <definedName name="belugabunyn453">変更別紙!$K$465</definedName>
    <definedName name="belugabunyn454">変更別紙!$K$466</definedName>
    <definedName name="belugabunyn455">変更別紙!$K$467</definedName>
    <definedName name="belugabunyn456">変更別紙!$K$468</definedName>
    <definedName name="belugabunyn457">変更別紙!$K$469</definedName>
    <definedName name="belugabunyn458">変更別紙!$K$470</definedName>
    <definedName name="belugabunyn459">変更別紙!$K$471</definedName>
    <definedName name="belugabunyn460">変更別紙!$K$472</definedName>
    <definedName name="belugabunyn461">変更別紙!$K$473</definedName>
    <definedName name="belugabunyn462">変更別紙!$K$474</definedName>
    <definedName name="belugabunyn463">変更別紙!$K$475</definedName>
    <definedName name="belugabunyn464">変更別紙!$K$476</definedName>
    <definedName name="belugabunyn465">変更別紙!$K$477</definedName>
    <definedName name="belugabunyn466">変更別紙!$K$478</definedName>
    <definedName name="belugabunyn467">変更別紙!$K$479</definedName>
    <definedName name="belugabunyn468">変更別紙!$K$480</definedName>
    <definedName name="belugabunyn469">変更別紙!$K$481</definedName>
    <definedName name="belugabunyn470">変更別紙!$K$482</definedName>
    <definedName name="belugabunyn471">変更別紙!$K$483</definedName>
    <definedName name="belugabunyn472">変更別紙!$K$484</definedName>
    <definedName name="belugabunyn473">変更別紙!$K$485</definedName>
    <definedName name="belugabunyn474">変更別紙!$K$486</definedName>
    <definedName name="belugabunyn475">変更別紙!$K$487</definedName>
    <definedName name="belugabunyn476">変更別紙!$K$488</definedName>
    <definedName name="belugabunyn477">変更別紙!$K$489</definedName>
    <definedName name="belugabunyn478">変更別紙!$K$490</definedName>
    <definedName name="belugabunyn479">変更別紙!$K$491</definedName>
    <definedName name="belugabunyn480">変更別紙!$K$492</definedName>
    <definedName name="belugabunyn481">変更別紙!$K$493</definedName>
    <definedName name="belugabunyn482">変更別紙!$K$494</definedName>
    <definedName name="belugabunyn483">変更別紙!$K$495</definedName>
    <definedName name="belugabunyn484">変更別紙!$K$496</definedName>
    <definedName name="belugabunyn485">変更別紙!$K$497</definedName>
    <definedName name="belugabunyn486">変更別紙!$K$498</definedName>
    <definedName name="belugabunyn487">変更別紙!$K$499</definedName>
    <definedName name="belugabunyn488">変更別紙!$K$500</definedName>
    <definedName name="belugabunyn489">変更別紙!$K$501</definedName>
    <definedName name="belugabunyn490">変更別紙!$K$502</definedName>
    <definedName name="belugabunyn491">変更別紙!$K$503</definedName>
    <definedName name="belugabunyn492">変更別紙!$K$504</definedName>
    <definedName name="belugabunyn493">変更別紙!$K$505</definedName>
    <definedName name="belugabunyn494">変更別紙!$K$506</definedName>
    <definedName name="belugabunyn495">変更別紙!$K$507</definedName>
    <definedName name="belugabunyn496">変更別紙!$K$508</definedName>
    <definedName name="belugabunyn497">変更別紙!$K$509</definedName>
    <definedName name="belugabunyn498">変更別紙!$K$510</definedName>
    <definedName name="belugabunyn499">変更別紙!$K$511</definedName>
    <definedName name="belugabunyn500">変更別紙!$K$512</definedName>
    <definedName name="billid001">変更別紙!$E$13</definedName>
    <definedName name="billid002">変更別紙!$E$14</definedName>
    <definedName name="billid003">変更別紙!$E$15</definedName>
    <definedName name="billid004">変更別紙!$E$16</definedName>
    <definedName name="billid005">変更別紙!$E$17</definedName>
    <definedName name="billid006">変更別紙!$E$18</definedName>
    <definedName name="billid007">変更別紙!$E$19</definedName>
    <definedName name="billid008">変更別紙!$E$20</definedName>
    <definedName name="billid009">変更別紙!$E$21</definedName>
    <definedName name="billid010">変更別紙!$E$22</definedName>
    <definedName name="billid011">変更別紙!$E$23</definedName>
    <definedName name="billid012">変更別紙!$E$24</definedName>
    <definedName name="billid013">変更別紙!$E$25</definedName>
    <definedName name="billid014">変更別紙!$E$26</definedName>
    <definedName name="billid015">変更別紙!$E$27</definedName>
    <definedName name="billid016">変更別紙!$E$28</definedName>
    <definedName name="billid017">変更別紙!$E$29</definedName>
    <definedName name="billid018">変更別紙!$E$30</definedName>
    <definedName name="billid019">変更別紙!$E$31</definedName>
    <definedName name="billid020">変更別紙!$E$32</definedName>
    <definedName name="billid021">変更別紙!$E$33</definedName>
    <definedName name="billid022">変更別紙!$E$34</definedName>
    <definedName name="billid023">変更別紙!$E$35</definedName>
    <definedName name="billid024">変更別紙!$E$36</definedName>
    <definedName name="billid025">変更別紙!$E$37</definedName>
    <definedName name="billid026">変更別紙!$E$38</definedName>
    <definedName name="billid027">変更別紙!$E$39</definedName>
    <definedName name="billid028">変更別紙!$E$40</definedName>
    <definedName name="billid029">変更別紙!$E$41</definedName>
    <definedName name="billid030">変更別紙!$E$42</definedName>
    <definedName name="billid031">変更別紙!$E$43</definedName>
    <definedName name="billid032">変更別紙!$E$44</definedName>
    <definedName name="billid033">変更別紙!$E$45</definedName>
    <definedName name="billid034">変更別紙!$E$46</definedName>
    <definedName name="billid035">変更別紙!$E$47</definedName>
    <definedName name="billid036">変更別紙!$E$48</definedName>
    <definedName name="billid037">変更別紙!$E$49</definedName>
    <definedName name="billid038">変更別紙!$E$50</definedName>
    <definedName name="billid039">変更別紙!$E$51</definedName>
    <definedName name="billid040">変更別紙!$E$52</definedName>
    <definedName name="billid041">変更別紙!$E$53</definedName>
    <definedName name="billid042">変更別紙!$E$54</definedName>
    <definedName name="billid043">変更別紙!$E$55</definedName>
    <definedName name="billid044">変更別紙!$E$56</definedName>
    <definedName name="billid045">変更別紙!$E$57</definedName>
    <definedName name="billid046">変更別紙!$E$58</definedName>
    <definedName name="billid047">変更別紙!$E$59</definedName>
    <definedName name="billid048">変更別紙!$E$60</definedName>
    <definedName name="billid049">変更別紙!$E$61</definedName>
    <definedName name="billid050">変更別紙!$E$62</definedName>
    <definedName name="billid051">変更別紙!$E$63</definedName>
    <definedName name="billid052">変更別紙!$E$64</definedName>
    <definedName name="billid053">変更別紙!$E$65</definedName>
    <definedName name="billid054">変更別紙!$E$66</definedName>
    <definedName name="billid055">変更別紙!$E$67</definedName>
    <definedName name="billid056">変更別紙!$E$68</definedName>
    <definedName name="billid057">変更別紙!$E$69</definedName>
    <definedName name="billid058">変更別紙!$E$70</definedName>
    <definedName name="billid059">変更別紙!$E$71</definedName>
    <definedName name="billid060">変更別紙!$E$72</definedName>
    <definedName name="billid061">変更別紙!$E$73</definedName>
    <definedName name="billid062">変更別紙!$E$74</definedName>
    <definedName name="billid063">変更別紙!$E$75</definedName>
    <definedName name="billid064">変更別紙!$E$76</definedName>
    <definedName name="billid065">変更別紙!$E$77</definedName>
    <definedName name="billid066">変更別紙!$E$78</definedName>
    <definedName name="billid067">変更別紙!$E$79</definedName>
    <definedName name="billid068">変更別紙!$E$80</definedName>
    <definedName name="billid069">変更別紙!$E$81</definedName>
    <definedName name="billid070">変更別紙!$E$82</definedName>
    <definedName name="billid071">変更別紙!$E$83</definedName>
    <definedName name="billid072">変更別紙!$E$84</definedName>
    <definedName name="billid073">変更別紙!$E$85</definedName>
    <definedName name="billid074">変更別紙!$E$86</definedName>
    <definedName name="billid075">変更別紙!$E$87</definedName>
    <definedName name="billid076">変更別紙!$E$88</definedName>
    <definedName name="billid077">変更別紙!$E$89</definedName>
    <definedName name="billid078">変更別紙!$E$90</definedName>
    <definedName name="billid079">変更別紙!$E$91</definedName>
    <definedName name="billid080">変更別紙!$E$92</definedName>
    <definedName name="billid081">変更別紙!$E$93</definedName>
    <definedName name="billid082">変更別紙!$E$94</definedName>
    <definedName name="billid083">変更別紙!$E$95</definedName>
    <definedName name="billid084">変更別紙!$E$96</definedName>
    <definedName name="billid085">変更別紙!$E$97</definedName>
    <definedName name="billid086">変更別紙!$E$98</definedName>
    <definedName name="billid087">変更別紙!$E$99</definedName>
    <definedName name="billid088">変更別紙!$E$100</definedName>
    <definedName name="billid089">変更別紙!$E$101</definedName>
    <definedName name="billid090">変更別紙!$E$102</definedName>
    <definedName name="billid091">変更別紙!$E$103</definedName>
    <definedName name="billid092">変更別紙!$E$104</definedName>
    <definedName name="billid093">変更別紙!$E$105</definedName>
    <definedName name="billid094">変更別紙!$E$106</definedName>
    <definedName name="billid095">変更別紙!$E$107</definedName>
    <definedName name="billid096">変更別紙!$E$108</definedName>
    <definedName name="billid097">変更別紙!$E$109</definedName>
    <definedName name="billid098">変更別紙!$E$110</definedName>
    <definedName name="billid099">変更別紙!$E$111</definedName>
    <definedName name="billid100">変更別紙!$E$112</definedName>
    <definedName name="billid101">変更別紙!$E$113</definedName>
    <definedName name="billid102">変更別紙!$E$114</definedName>
    <definedName name="billid103">変更別紙!$E$115</definedName>
    <definedName name="billid104">変更別紙!$E$116</definedName>
    <definedName name="billid105">変更別紙!$E$117</definedName>
    <definedName name="billid106">変更別紙!$E$118</definedName>
    <definedName name="billid107">変更別紙!$E$119</definedName>
    <definedName name="billid108">変更別紙!$E$120</definedName>
    <definedName name="billid109">変更別紙!$E$121</definedName>
    <definedName name="billid110">変更別紙!$E$122</definedName>
    <definedName name="billid111">変更別紙!$E$123</definedName>
    <definedName name="billid112">変更別紙!$E$124</definedName>
    <definedName name="billid113">変更別紙!$E$125</definedName>
    <definedName name="billid114">変更別紙!$E$126</definedName>
    <definedName name="billid115">変更別紙!$E$127</definedName>
    <definedName name="billid116">変更別紙!$E$128</definedName>
    <definedName name="billid117">変更別紙!$E$129</definedName>
    <definedName name="billid118">変更別紙!$E$130</definedName>
    <definedName name="billid119">変更別紙!$E$131</definedName>
    <definedName name="billid120">変更別紙!$E$132</definedName>
    <definedName name="billid121">変更別紙!$E$133</definedName>
    <definedName name="billid122">変更別紙!$E$134</definedName>
    <definedName name="billid123">変更別紙!$E$135</definedName>
    <definedName name="billid124">変更別紙!$E$136</definedName>
    <definedName name="billid125">変更別紙!$E$137</definedName>
    <definedName name="billid126">変更別紙!$E$138</definedName>
    <definedName name="billid127">変更別紙!$E$139</definedName>
    <definedName name="billid128">変更別紙!$E$140</definedName>
    <definedName name="billid129">変更別紙!$E$141</definedName>
    <definedName name="billid130">変更別紙!$E$142</definedName>
    <definedName name="billid131">変更別紙!$E$143</definedName>
    <definedName name="billid132">変更別紙!$E$144</definedName>
    <definedName name="billid133">変更別紙!$E$145</definedName>
    <definedName name="billid134">変更別紙!$E$146</definedName>
    <definedName name="billid135">変更別紙!$E$147</definedName>
    <definedName name="billid136">変更別紙!$E$148</definedName>
    <definedName name="billid137">変更別紙!$E$149</definedName>
    <definedName name="billid138">変更別紙!$E$150</definedName>
    <definedName name="billid139">変更別紙!$E$151</definedName>
    <definedName name="billid140">変更別紙!$E$152</definedName>
    <definedName name="billid141">変更別紙!$E$153</definedName>
    <definedName name="billid142">変更別紙!$E$154</definedName>
    <definedName name="billid143">変更別紙!$E$155</definedName>
    <definedName name="billid144">変更別紙!$E$156</definedName>
    <definedName name="billid145">変更別紙!$E$157</definedName>
    <definedName name="billid146">変更別紙!$E$158</definedName>
    <definedName name="billid147">変更別紙!$E$159</definedName>
    <definedName name="billid148">変更別紙!$E$160</definedName>
    <definedName name="billid149">変更別紙!$E$161</definedName>
    <definedName name="billid150">変更別紙!$E$162</definedName>
    <definedName name="billid151">変更別紙!$E$163</definedName>
    <definedName name="billid152">変更別紙!$E$164</definedName>
    <definedName name="billid153">変更別紙!$E$165</definedName>
    <definedName name="billid154">変更別紙!$E$166</definedName>
    <definedName name="billid155">変更別紙!$E$167</definedName>
    <definedName name="billid156">変更別紙!$E$168</definedName>
    <definedName name="billid157">変更別紙!$E$169</definedName>
    <definedName name="billid158">変更別紙!$E$170</definedName>
    <definedName name="billid159">変更別紙!$E$171</definedName>
    <definedName name="billid160">変更別紙!$E$172</definedName>
    <definedName name="billid161">変更別紙!$E$173</definedName>
    <definedName name="billid162">変更別紙!$E$174</definedName>
    <definedName name="billid163">変更別紙!$E$175</definedName>
    <definedName name="billid164">変更別紙!$E$176</definedName>
    <definedName name="billid165">変更別紙!$E$177</definedName>
    <definedName name="billid166">変更別紙!$E$178</definedName>
    <definedName name="billid167">変更別紙!$E$179</definedName>
    <definedName name="billid168">変更別紙!$E$180</definedName>
    <definedName name="billid169">変更別紙!$E$181</definedName>
    <definedName name="billid170">変更別紙!$E$182</definedName>
    <definedName name="billid171">変更別紙!$E$183</definedName>
    <definedName name="billid172">変更別紙!$E$184</definedName>
    <definedName name="billid173">変更別紙!$E$185</definedName>
    <definedName name="billid174">変更別紙!$E$186</definedName>
    <definedName name="billid175">変更別紙!$E$187</definedName>
    <definedName name="billid176">変更別紙!$E$188</definedName>
    <definedName name="billid177">変更別紙!$E$189</definedName>
    <definedName name="billid178">変更別紙!$E$190</definedName>
    <definedName name="billid179">変更別紙!$E$191</definedName>
    <definedName name="billid180">変更別紙!$E$192</definedName>
    <definedName name="billid181">変更別紙!$E$193</definedName>
    <definedName name="billid182">変更別紙!$E$194</definedName>
    <definedName name="billid183">変更別紙!$E$195</definedName>
    <definedName name="billid184">変更別紙!$E$196</definedName>
    <definedName name="billid185">変更別紙!$E$197</definedName>
    <definedName name="billid186">変更別紙!$E$198</definedName>
    <definedName name="billid187">変更別紙!$E$199</definedName>
    <definedName name="billid188">変更別紙!$E$200</definedName>
    <definedName name="billid189">変更別紙!$E$201</definedName>
    <definedName name="billid190">変更別紙!$E$202</definedName>
    <definedName name="billid191">変更別紙!$E$203</definedName>
    <definedName name="billid192">変更別紙!$E$204</definedName>
    <definedName name="billid193">変更別紙!$E$205</definedName>
    <definedName name="billid194">変更別紙!$E$206</definedName>
    <definedName name="billid195">変更別紙!$E$207</definedName>
    <definedName name="billid196">変更別紙!$E$208</definedName>
    <definedName name="billid197">変更別紙!$E$209</definedName>
    <definedName name="billid198">変更別紙!$E$210</definedName>
    <definedName name="billid199">変更別紙!$E$211</definedName>
    <definedName name="billid200">変更別紙!$E$212</definedName>
    <definedName name="billid201">変更別紙!$E$213</definedName>
    <definedName name="billid202">変更別紙!$E$214</definedName>
    <definedName name="billid203">変更別紙!$E$215</definedName>
    <definedName name="billid204">変更別紙!$E$216</definedName>
    <definedName name="billid205">変更別紙!$E$217</definedName>
    <definedName name="billid206">変更別紙!$E$218</definedName>
    <definedName name="billid207">変更別紙!$E$219</definedName>
    <definedName name="billid208">変更別紙!$E$220</definedName>
    <definedName name="billid209">変更別紙!$E$221</definedName>
    <definedName name="billid210">変更別紙!$E$222</definedName>
    <definedName name="billid211">変更別紙!$E$223</definedName>
    <definedName name="billid212">変更別紙!$E$224</definedName>
    <definedName name="billid213">変更別紙!$E$225</definedName>
    <definedName name="billid214">変更別紙!$E$226</definedName>
    <definedName name="billid215">変更別紙!$E$227</definedName>
    <definedName name="billid216">変更別紙!$E$228</definedName>
    <definedName name="billid217">変更別紙!$E$229</definedName>
    <definedName name="billid218">変更別紙!$E$230</definedName>
    <definedName name="billid219">変更別紙!$E$231</definedName>
    <definedName name="billid220">変更別紙!$E$232</definedName>
    <definedName name="billid221">変更別紙!$E$233</definedName>
    <definedName name="billid222">変更別紙!$E$234</definedName>
    <definedName name="billid223">変更別紙!$E$235</definedName>
    <definedName name="billid224">変更別紙!$E$236</definedName>
    <definedName name="billid225">変更別紙!$E$237</definedName>
    <definedName name="billid226">変更別紙!$E$238</definedName>
    <definedName name="billid227">変更別紙!$E$239</definedName>
    <definedName name="billid228">変更別紙!$E$240</definedName>
    <definedName name="billid229">変更別紙!$E$241</definedName>
    <definedName name="billid230">変更別紙!$E$242</definedName>
    <definedName name="billid231">変更別紙!$E$243</definedName>
    <definedName name="billid232">変更別紙!$E$244</definedName>
    <definedName name="billid233">変更別紙!$E$245</definedName>
    <definedName name="billid234">変更別紙!$E$246</definedName>
    <definedName name="billid235">変更別紙!$E$247</definedName>
    <definedName name="billid236">変更別紙!$E$248</definedName>
    <definedName name="billid237">変更別紙!$E$249</definedName>
    <definedName name="billid238">変更別紙!$E$250</definedName>
    <definedName name="billid239">変更別紙!$E$251</definedName>
    <definedName name="billid240">変更別紙!$E$252</definedName>
    <definedName name="billid241">変更別紙!$E$253</definedName>
    <definedName name="billid242">変更別紙!$E$254</definedName>
    <definedName name="billid243">変更別紙!$E$255</definedName>
    <definedName name="billid244">変更別紙!$E$256</definedName>
    <definedName name="billid245">変更別紙!$E$257</definedName>
    <definedName name="billid246">変更別紙!$E$258</definedName>
    <definedName name="billid247">変更別紙!$E$259</definedName>
    <definedName name="billid248">変更別紙!$E$260</definedName>
    <definedName name="billid249">変更別紙!$E$261</definedName>
    <definedName name="billid250">変更別紙!$E$262</definedName>
    <definedName name="billid251">変更別紙!$E$263</definedName>
    <definedName name="billid252">変更別紙!$E$264</definedName>
    <definedName name="billid253">変更別紙!$E$265</definedName>
    <definedName name="billid254">変更別紙!$E$266</definedName>
    <definedName name="billid255">変更別紙!$E$267</definedName>
    <definedName name="billid256">変更別紙!$E$268</definedName>
    <definedName name="billid257">変更別紙!$E$269</definedName>
    <definedName name="billid258">変更別紙!$E$270</definedName>
    <definedName name="billid259">変更別紙!$E$271</definedName>
    <definedName name="billid260">変更別紙!$E$272</definedName>
    <definedName name="billid261">変更別紙!$E$273</definedName>
    <definedName name="billid262">変更別紙!$E$274</definedName>
    <definedName name="billid263">変更別紙!$E$275</definedName>
    <definedName name="billid264">変更別紙!$E$276</definedName>
    <definedName name="billid265">変更別紙!$E$277</definedName>
    <definedName name="billid266">変更別紙!$E$278</definedName>
    <definedName name="billid267">変更別紙!$E$279</definedName>
    <definedName name="billid268">変更別紙!$E$280</definedName>
    <definedName name="billid269">変更別紙!$E$281</definedName>
    <definedName name="billid270">変更別紙!$E$282</definedName>
    <definedName name="billid271">変更別紙!$E$283</definedName>
    <definedName name="billid272">変更別紙!$E$284</definedName>
    <definedName name="billid273">変更別紙!$E$285</definedName>
    <definedName name="billid274">変更別紙!$E$286</definedName>
    <definedName name="billid275">変更別紙!$E$287</definedName>
    <definedName name="billid276">変更別紙!$E$288</definedName>
    <definedName name="billid277">変更別紙!$E$289</definedName>
    <definedName name="billid278">変更別紙!$E$290</definedName>
    <definedName name="billid279">変更別紙!$E$291</definedName>
    <definedName name="billid280">変更別紙!$E$292</definedName>
    <definedName name="billid281">変更別紙!$E$293</definedName>
    <definedName name="billid282">変更別紙!$E$294</definedName>
    <definedName name="billid283">変更別紙!$E$295</definedName>
    <definedName name="billid284">変更別紙!$E$296</definedName>
    <definedName name="billid285">変更別紙!$E$297</definedName>
    <definedName name="billid286">変更別紙!$E$298</definedName>
    <definedName name="billid287">変更別紙!$E$299</definedName>
    <definedName name="billid288">変更別紙!$E$300</definedName>
    <definedName name="billid289">変更別紙!$E$301</definedName>
    <definedName name="billid290">変更別紙!$E$302</definedName>
    <definedName name="billid291">変更別紙!$E$303</definedName>
    <definedName name="billid292">変更別紙!$E$304</definedName>
    <definedName name="billid293">変更別紙!$E$305</definedName>
    <definedName name="billid294">変更別紙!$E$306</definedName>
    <definedName name="billid295">変更別紙!$E$307</definedName>
    <definedName name="billid296">変更別紙!$E$308</definedName>
    <definedName name="billid297">変更別紙!$E$309</definedName>
    <definedName name="billid298">変更別紙!$E$310</definedName>
    <definedName name="billid299">変更別紙!$E$311</definedName>
    <definedName name="billid300">変更別紙!$E$312</definedName>
    <definedName name="billid301">変更別紙!$E$313</definedName>
    <definedName name="billid302">変更別紙!$E$314</definedName>
    <definedName name="billid303">変更別紙!$E$315</definedName>
    <definedName name="billid304">変更別紙!$E$316</definedName>
    <definedName name="billid305">変更別紙!$E$317</definedName>
    <definedName name="billid306">変更別紙!$E$318</definedName>
    <definedName name="billid307">変更別紙!$E$319</definedName>
    <definedName name="billid308">変更別紙!$E$320</definedName>
    <definedName name="billid309">変更別紙!$E$321</definedName>
    <definedName name="billid310">変更別紙!$E$322</definedName>
    <definedName name="billid311">変更別紙!$E$323</definedName>
    <definedName name="billid312">変更別紙!$E$324</definedName>
    <definedName name="billid313">変更別紙!$E$325</definedName>
    <definedName name="billid314">変更別紙!$E$326</definedName>
    <definedName name="billid315">変更別紙!$E$327</definedName>
    <definedName name="billid316">変更別紙!$E$328</definedName>
    <definedName name="billid317">変更別紙!$E$329</definedName>
    <definedName name="billid318">変更別紙!$E$330</definedName>
    <definedName name="billid319">変更別紙!$E$331</definedName>
    <definedName name="billid320">変更別紙!$E$332</definedName>
    <definedName name="billid321">変更別紙!$E$333</definedName>
    <definedName name="billid322">変更別紙!$E$334</definedName>
    <definedName name="billid323">変更別紙!$E$335</definedName>
    <definedName name="billid324">変更別紙!$E$336</definedName>
    <definedName name="billid325">変更別紙!$E$337</definedName>
    <definedName name="billid326">変更別紙!$E$338</definedName>
    <definedName name="billid327">変更別紙!$E$339</definedName>
    <definedName name="billid328">変更別紙!$E$340</definedName>
    <definedName name="billid329">変更別紙!$E$341</definedName>
    <definedName name="billid330">変更別紙!$E$342</definedName>
    <definedName name="billid331">変更別紙!$E$343</definedName>
    <definedName name="billid332">変更別紙!$E$344</definedName>
    <definedName name="billid333">変更別紙!$E$345</definedName>
    <definedName name="billid334">変更別紙!$E$346</definedName>
    <definedName name="billid335">変更別紙!$E$347</definedName>
    <definedName name="billid336">変更別紙!$E$348</definedName>
    <definedName name="billid337">変更別紙!$E$349</definedName>
    <definedName name="billid338">変更別紙!$E$350</definedName>
    <definedName name="billid339">変更別紙!$E$351</definedName>
    <definedName name="billid340">変更別紙!$E$352</definedName>
    <definedName name="billid341">変更別紙!$E$353</definedName>
    <definedName name="billid342">変更別紙!$E$354</definedName>
    <definedName name="billid343">変更別紙!$E$355</definedName>
    <definedName name="billid344">変更別紙!$E$356</definedName>
    <definedName name="billid345">変更別紙!$E$357</definedName>
    <definedName name="billid346">変更別紙!$E$358</definedName>
    <definedName name="billid347">変更別紙!$E$359</definedName>
    <definedName name="billid348">変更別紙!$E$360</definedName>
    <definedName name="billid349">変更別紙!$E$361</definedName>
    <definedName name="billid350">変更別紙!$E$362</definedName>
    <definedName name="billid351">変更別紙!$E$363</definedName>
    <definedName name="billid352">変更別紙!$E$364</definedName>
    <definedName name="billid353">変更別紙!$E$365</definedName>
    <definedName name="billid354">変更別紙!$E$366</definedName>
    <definedName name="billid355">変更別紙!$E$367</definedName>
    <definedName name="billid356">変更別紙!$E$368</definedName>
    <definedName name="billid357">変更別紙!$E$369</definedName>
    <definedName name="billid358">変更別紙!$E$370</definedName>
    <definedName name="billid359">変更別紙!$E$371</definedName>
    <definedName name="billid360">変更別紙!$E$372</definedName>
    <definedName name="billid361">変更別紙!$E$373</definedName>
    <definedName name="billid362">変更別紙!$E$374</definedName>
    <definedName name="billid363">変更別紙!$E$375</definedName>
    <definedName name="billid364">変更別紙!$E$376</definedName>
    <definedName name="billid365">変更別紙!$E$377</definedName>
    <definedName name="billid366">変更別紙!$E$378</definedName>
    <definedName name="billid367">変更別紙!$E$379</definedName>
    <definedName name="billid368">変更別紙!$E$380</definedName>
    <definedName name="billid369">変更別紙!$E$381</definedName>
    <definedName name="billid370">変更別紙!$E$382</definedName>
    <definedName name="billid371">変更別紙!$E$383</definedName>
    <definedName name="billid372">変更別紙!$E$384</definedName>
    <definedName name="billid373">変更別紙!$E$385</definedName>
    <definedName name="billid374">変更別紙!$E$386</definedName>
    <definedName name="billid375">変更別紙!$E$387</definedName>
    <definedName name="billid376">変更別紙!$E$388</definedName>
    <definedName name="billid377">変更別紙!$E$389</definedName>
    <definedName name="billid378">変更別紙!$E$390</definedName>
    <definedName name="billid379">変更別紙!$E$391</definedName>
    <definedName name="billid380">変更別紙!$E$392</definedName>
    <definedName name="billid381">変更別紙!$E$393</definedName>
    <definedName name="billid382">変更別紙!$E$394</definedName>
    <definedName name="billid383">変更別紙!$E$395</definedName>
    <definedName name="billid384">変更別紙!$E$396</definedName>
    <definedName name="billid385">変更別紙!$E$397</definedName>
    <definedName name="billid386">変更別紙!$E$398</definedName>
    <definedName name="billid387">変更別紙!$E$399</definedName>
    <definedName name="billid388">変更別紙!$E$400</definedName>
    <definedName name="billid389">変更別紙!$E$401</definedName>
    <definedName name="billid390">変更別紙!$E$402</definedName>
    <definedName name="billid391">変更別紙!$E$403</definedName>
    <definedName name="billid392">変更別紙!$E$404</definedName>
    <definedName name="billid393">変更別紙!$E$405</definedName>
    <definedName name="billid394">変更別紙!$E$406</definedName>
    <definedName name="billid395">変更別紙!$E$407</definedName>
    <definedName name="billid396">変更別紙!$E$408</definedName>
    <definedName name="billid397">変更別紙!$E$409</definedName>
    <definedName name="billid398">変更別紙!$E$410</definedName>
    <definedName name="billid399">変更別紙!$E$411</definedName>
    <definedName name="billid400">変更別紙!$E$412</definedName>
    <definedName name="billid401">変更別紙!$E$413</definedName>
    <definedName name="billid402">変更別紙!$E$414</definedName>
    <definedName name="billid403">変更別紙!$E$415</definedName>
    <definedName name="billid404">変更別紙!$E$416</definedName>
    <definedName name="billid405">変更別紙!$E$417</definedName>
    <definedName name="billid406">変更別紙!$E$418</definedName>
    <definedName name="billid407">変更別紙!$E$419</definedName>
    <definedName name="billid408">変更別紙!$E$420</definedName>
    <definedName name="billid409">変更別紙!$E$421</definedName>
    <definedName name="billid410">変更別紙!$E$422</definedName>
    <definedName name="billid411">変更別紙!$E$423</definedName>
    <definedName name="billid412">変更別紙!$E$424</definedName>
    <definedName name="billid413">変更別紙!$E$425</definedName>
    <definedName name="billid414">変更別紙!$E$426</definedName>
    <definedName name="billid415">変更別紙!$E$427</definedName>
    <definedName name="billid416">変更別紙!$E$428</definedName>
    <definedName name="billid417">変更別紙!$E$429</definedName>
    <definedName name="billid418">変更別紙!$E$430</definedName>
    <definedName name="billid419">変更別紙!$E$431</definedName>
    <definedName name="billid420">変更別紙!$E$432</definedName>
    <definedName name="billid421">変更別紙!$E$433</definedName>
    <definedName name="billid422">変更別紙!$E$434</definedName>
    <definedName name="billid423">変更別紙!$E$435</definedName>
    <definedName name="billid424">変更別紙!$E$436</definedName>
    <definedName name="billid425">変更別紙!$E$437</definedName>
    <definedName name="billid426">変更別紙!$E$438</definedName>
    <definedName name="billid427">変更別紙!$E$439</definedName>
    <definedName name="billid428">変更別紙!$E$440</definedName>
    <definedName name="billid429">変更別紙!$E$441</definedName>
    <definedName name="billid430">変更別紙!$E$442</definedName>
    <definedName name="billid431">変更別紙!$E$443</definedName>
    <definedName name="billid432">変更別紙!$E$444</definedName>
    <definedName name="billid433">変更別紙!$E$445</definedName>
    <definedName name="billid434">変更別紙!$E$446</definedName>
    <definedName name="billid435">変更別紙!$E$447</definedName>
    <definedName name="billid436">変更別紙!$E$448</definedName>
    <definedName name="billid437">変更別紙!$E$449</definedName>
    <definedName name="billid438">変更別紙!$E$450</definedName>
    <definedName name="billid439">変更別紙!$E$451</definedName>
    <definedName name="billid440">変更別紙!$E$452</definedName>
    <definedName name="billid441">変更別紙!$E$453</definedName>
    <definedName name="billid442">変更別紙!$E$454</definedName>
    <definedName name="billid443">変更別紙!$E$455</definedName>
    <definedName name="billid444">変更別紙!$E$456</definedName>
    <definedName name="billid445">変更別紙!$E$457</definedName>
    <definedName name="billid446">変更別紙!$E$458</definedName>
    <definedName name="billid447">変更別紙!$E$459</definedName>
    <definedName name="billid448">変更別紙!$E$460</definedName>
    <definedName name="billid449">変更別紙!$E$461</definedName>
    <definedName name="billid450">変更別紙!$E$462</definedName>
    <definedName name="billid451">変更別紙!$E$463</definedName>
    <definedName name="billid452">変更別紙!$E$464</definedName>
    <definedName name="billid453">変更別紙!$E$465</definedName>
    <definedName name="billid454">変更別紙!$E$466</definedName>
    <definedName name="billid455">変更別紙!$E$467</definedName>
    <definedName name="billid456">変更別紙!$E$468</definedName>
    <definedName name="billid457">変更別紙!$E$469</definedName>
    <definedName name="billid458">変更別紙!$E$470</definedName>
    <definedName name="billid459">変更別紙!$E$471</definedName>
    <definedName name="billid460">変更別紙!$E$472</definedName>
    <definedName name="billid461">変更別紙!$E$473</definedName>
    <definedName name="billid462">変更別紙!$E$474</definedName>
    <definedName name="billid463">変更別紙!$E$475</definedName>
    <definedName name="billid464">変更別紙!$E$476</definedName>
    <definedName name="billid465">変更別紙!$E$477</definedName>
    <definedName name="billid466">変更別紙!$E$478</definedName>
    <definedName name="billid467">変更別紙!$E$479</definedName>
    <definedName name="billid468">変更別紙!$E$480</definedName>
    <definedName name="billid469">変更別紙!$E$481</definedName>
    <definedName name="billid470">変更別紙!$E$482</definedName>
    <definedName name="billid471">変更別紙!$E$483</definedName>
    <definedName name="billid472">変更別紙!$E$484</definedName>
    <definedName name="billid473">変更別紙!$E$485</definedName>
    <definedName name="billid474">変更別紙!$E$486</definedName>
    <definedName name="billid475">変更別紙!$E$487</definedName>
    <definedName name="billid476">変更別紙!$E$488</definedName>
    <definedName name="billid477">変更別紙!$E$489</definedName>
    <definedName name="billid478">変更別紙!$E$490</definedName>
    <definedName name="billid479">変更別紙!$E$491</definedName>
    <definedName name="billid480">変更別紙!$E$492</definedName>
    <definedName name="billid481">変更別紙!$E$493</definedName>
    <definedName name="billid482">変更別紙!$E$494</definedName>
    <definedName name="billid483">変更別紙!$E$495</definedName>
    <definedName name="billid484">変更別紙!$E$496</definedName>
    <definedName name="billid485">変更別紙!$E$497</definedName>
    <definedName name="billid486">変更別紙!$E$498</definedName>
    <definedName name="billid487">変更別紙!$E$499</definedName>
    <definedName name="billid488">変更別紙!$E$500</definedName>
    <definedName name="billid489">変更別紙!$E$501</definedName>
    <definedName name="billid490">変更別紙!$E$502</definedName>
    <definedName name="billid491">変更別紙!$E$503</definedName>
    <definedName name="billid492">変更別紙!$E$504</definedName>
    <definedName name="billid493">変更別紙!$E$505</definedName>
    <definedName name="billid494">変更別紙!$E$506</definedName>
    <definedName name="billid495">変更別紙!$E$507</definedName>
    <definedName name="billid496">変更別紙!$E$508</definedName>
    <definedName name="billid497">変更別紙!$E$509</definedName>
    <definedName name="billid498">変更別紙!$E$510</definedName>
    <definedName name="billid499">変更別紙!$E$511</definedName>
    <definedName name="billid500">変更別紙!$E$512</definedName>
    <definedName name="billingStationAuthKey">変更お申込書!#REF!</definedName>
    <definedName name="billingStationCustomerMailAddress">変更お申込書!#REF!</definedName>
    <definedName name="billingStationCustomerNumber">'table（隠す）変更'!$P$3</definedName>
    <definedName name="billingStationCustomerNumberOnly">変更お申込書!$K$11</definedName>
    <definedName name="billingStationDeptName">変更お申込書!$K$20</definedName>
    <definedName name="billingStationDeptNameKana">変更お申込書!$K$19</definedName>
    <definedName name="billingStationPerson">変更お申込書!$K$22</definedName>
    <definedName name="billingStationPersonKana">変更お申込書!$K$21</definedName>
    <definedName name="billingStationPhoneNumber">変更お申込書!$K$18</definedName>
    <definedName name="billingStationPlan">変更お申込書!$K$25</definedName>
    <definedName name="billingStationUseDataByNumber">変更お申込書!$K$26</definedName>
    <definedName name="comment">変更お申込書!$M$40</definedName>
    <definedName name="companycode001">変更別紙!$I$13</definedName>
    <definedName name="companycode002">変更別紙!$I$14</definedName>
    <definedName name="companycode003">変更別紙!$I$15</definedName>
    <definedName name="companycode004">変更別紙!$I$16</definedName>
    <definedName name="companycode005">変更別紙!$I$17</definedName>
    <definedName name="companycode006">変更別紙!$I$18</definedName>
    <definedName name="companycode007">変更別紙!$I$19</definedName>
    <definedName name="companycode008">変更別紙!$I$20</definedName>
    <definedName name="companycode009">変更別紙!$I$21</definedName>
    <definedName name="companycode010">変更別紙!$I$22</definedName>
    <definedName name="companycode011">変更別紙!$I$23</definedName>
    <definedName name="companycode012">変更別紙!$I$24</definedName>
    <definedName name="companycode013">変更別紙!$I$25</definedName>
    <definedName name="companycode014">変更別紙!$I$26</definedName>
    <definedName name="companycode015">変更別紙!$I$27</definedName>
    <definedName name="companycode016">変更別紙!$I$28</definedName>
    <definedName name="companycode017">変更別紙!$I$29</definedName>
    <definedName name="companycode018">変更別紙!$I$30</definedName>
    <definedName name="companycode019">変更別紙!$I$31</definedName>
    <definedName name="companycode020">変更別紙!$I$32</definedName>
    <definedName name="companycode021">変更別紙!$I$33</definedName>
    <definedName name="companycode022">変更別紙!$I$34</definedName>
    <definedName name="companycode023">変更別紙!$I$35</definedName>
    <definedName name="companycode024">変更別紙!$I$36</definedName>
    <definedName name="companycode025">変更別紙!$I$37</definedName>
    <definedName name="companycode026">変更別紙!$I$38</definedName>
    <definedName name="companycode027">変更別紙!$I$39</definedName>
    <definedName name="companycode028">変更別紙!$I$40</definedName>
    <definedName name="companycode029">変更別紙!$I$41</definedName>
    <definedName name="companycode030">変更別紙!$I$42</definedName>
    <definedName name="companycode031">変更別紙!$I$43</definedName>
    <definedName name="companycode032">変更別紙!$I$44</definedName>
    <definedName name="companycode033">変更別紙!$I$45</definedName>
    <definedName name="companycode034">変更別紙!$I$46</definedName>
    <definedName name="companycode035">変更別紙!$I$47</definedName>
    <definedName name="companycode036">変更別紙!$I$48</definedName>
    <definedName name="companycode037">変更別紙!$I$49</definedName>
    <definedName name="companycode038">変更別紙!$I$50</definedName>
    <definedName name="companycode039">変更別紙!$I$51</definedName>
    <definedName name="companycode040">変更別紙!$I$52</definedName>
    <definedName name="companycode041">変更別紙!$I$53</definedName>
    <definedName name="companycode042">変更別紙!$I$54</definedName>
    <definedName name="companycode043">変更別紙!$I$55</definedName>
    <definedName name="companycode044">変更別紙!$I$56</definedName>
    <definedName name="companycode045">変更別紙!$I$57</definedName>
    <definedName name="companycode046">変更別紙!$I$58</definedName>
    <definedName name="companycode047">変更別紙!$I$59</definedName>
    <definedName name="companycode048">変更別紙!$I$60</definedName>
    <definedName name="companycode049">変更別紙!$I$61</definedName>
    <definedName name="companycode050">変更別紙!$I$62</definedName>
    <definedName name="companycode051">変更別紙!$I$63</definedName>
    <definedName name="companycode052">変更別紙!$I$64</definedName>
    <definedName name="companycode053">変更別紙!$I$65</definedName>
    <definedName name="companycode054">変更別紙!$I$66</definedName>
    <definedName name="companycode055">変更別紙!$I$67</definedName>
    <definedName name="companycode056">変更別紙!$I$68</definedName>
    <definedName name="companycode057">変更別紙!$I$69</definedName>
    <definedName name="companycode058">変更別紙!$I$70</definedName>
    <definedName name="companycode059">変更別紙!$I$71</definedName>
    <definedName name="companycode060">変更別紙!$I$72</definedName>
    <definedName name="companycode061">変更別紙!$I$73</definedName>
    <definedName name="companycode062">変更別紙!$I$74</definedName>
    <definedName name="companycode063">変更別紙!$I$75</definedName>
    <definedName name="companycode064">変更別紙!$I$76</definedName>
    <definedName name="companycode065">変更別紙!$I$77</definedName>
    <definedName name="companycode066">変更別紙!$I$78</definedName>
    <definedName name="companycode067">変更別紙!$I$79</definedName>
    <definedName name="companycode068">変更別紙!$I$80</definedName>
    <definedName name="companycode069">変更別紙!$I$81</definedName>
    <definedName name="companycode070">変更別紙!$I$82</definedName>
    <definedName name="companycode071">変更別紙!$I$83</definedName>
    <definedName name="companycode072">変更別紙!$I$84</definedName>
    <definedName name="companycode073">変更別紙!$I$85</definedName>
    <definedName name="companycode074">変更別紙!$I$86</definedName>
    <definedName name="companycode075">変更別紙!$I$87</definedName>
    <definedName name="companycode076">変更別紙!$I$88</definedName>
    <definedName name="companycode077">変更別紙!$I$89</definedName>
    <definedName name="companycode078">変更別紙!$I$90</definedName>
    <definedName name="companycode079">変更別紙!$I$91</definedName>
    <definedName name="companycode080">変更別紙!$I$92</definedName>
    <definedName name="companycode081">変更別紙!$I$93</definedName>
    <definedName name="companycode082">変更別紙!$I$94</definedName>
    <definedName name="companycode083">変更別紙!$I$95</definedName>
    <definedName name="companycode084">変更別紙!$I$96</definedName>
    <definedName name="companycode085">変更別紙!$I$97</definedName>
    <definedName name="companycode086">変更別紙!$I$98</definedName>
    <definedName name="companycode087">変更別紙!$I$99</definedName>
    <definedName name="companycode088">変更別紙!$I$100</definedName>
    <definedName name="companycode089">変更別紙!$I$101</definedName>
    <definedName name="companycode090">変更別紙!$I$102</definedName>
    <definedName name="companycode091">変更別紙!$I$103</definedName>
    <definedName name="companycode092">変更別紙!$I$104</definedName>
    <definedName name="companycode093">変更別紙!$I$105</definedName>
    <definedName name="companycode094">変更別紙!$I$106</definedName>
    <definedName name="companycode095">変更別紙!$I$107</definedName>
    <definedName name="companycode096">変更別紙!$I$108</definedName>
    <definedName name="companycode097">変更別紙!$I$109</definedName>
    <definedName name="companycode098">変更別紙!$I$110</definedName>
    <definedName name="companycode099">変更別紙!$I$111</definedName>
    <definedName name="companycode100">変更別紙!$I$112</definedName>
    <definedName name="companycode101">変更別紙!$I$113</definedName>
    <definedName name="companycode102">変更別紙!$I$114</definedName>
    <definedName name="companycode103">変更別紙!$I$115</definedName>
    <definedName name="companycode104">変更別紙!$I$116</definedName>
    <definedName name="companycode105">変更別紙!$I$117</definedName>
    <definedName name="companycode106">変更別紙!$I$118</definedName>
    <definedName name="companycode107">変更別紙!$I$119</definedName>
    <definedName name="companycode108">変更別紙!$I$120</definedName>
    <definedName name="companycode109">変更別紙!$I$121</definedName>
    <definedName name="companycode110">変更別紙!$I$122</definedName>
    <definedName name="companycode111">変更別紙!$I$123</definedName>
    <definedName name="companycode112">変更別紙!$I$124</definedName>
    <definedName name="companycode113">変更別紙!$I$125</definedName>
    <definedName name="companycode114">変更別紙!$I$126</definedName>
    <definedName name="companycode115">変更別紙!$I$127</definedName>
    <definedName name="companycode116">変更別紙!$I$128</definedName>
    <definedName name="companycode117">変更別紙!$I$129</definedName>
    <definedName name="companycode118">変更別紙!$I$130</definedName>
    <definedName name="companycode119">変更別紙!$I$131</definedName>
    <definedName name="companycode120">変更別紙!$I$132</definedName>
    <definedName name="companycode121">変更別紙!$I$133</definedName>
    <definedName name="companycode122">変更別紙!$I$134</definedName>
    <definedName name="companycode123">変更別紙!$I$135</definedName>
    <definedName name="companycode124">変更別紙!$I$136</definedName>
    <definedName name="companycode125">変更別紙!$I$137</definedName>
    <definedName name="companycode126">変更別紙!$I$138</definedName>
    <definedName name="companycode127">変更別紙!$I$139</definedName>
    <definedName name="companycode128">変更別紙!$I$140</definedName>
    <definedName name="companycode129">変更別紙!$I$141</definedName>
    <definedName name="companycode130">変更別紙!$I$142</definedName>
    <definedName name="companycode131">変更別紙!$I$143</definedName>
    <definedName name="companycode132">変更別紙!$I$144</definedName>
    <definedName name="companycode133">変更別紙!$I$145</definedName>
    <definedName name="companycode134">変更別紙!$I$146</definedName>
    <definedName name="companycode135">変更別紙!$I$147</definedName>
    <definedName name="companycode136">変更別紙!$I$148</definedName>
    <definedName name="companycode137">変更別紙!$I$149</definedName>
    <definedName name="companycode138">変更別紙!$I$150</definedName>
    <definedName name="companycode139">変更別紙!$I$151</definedName>
    <definedName name="companycode140">変更別紙!$I$152</definedName>
    <definedName name="companycode141">変更別紙!$I$153</definedName>
    <definedName name="companycode142">変更別紙!$I$154</definedName>
    <definedName name="companycode143">変更別紙!$I$155</definedName>
    <definedName name="companycode144">変更別紙!$I$156</definedName>
    <definedName name="companycode145">変更別紙!$I$157</definedName>
    <definedName name="companycode146">変更別紙!$I$158</definedName>
    <definedName name="companycode147">変更別紙!$I$159</definedName>
    <definedName name="companycode148">変更別紙!$I$160</definedName>
    <definedName name="companycode149">変更別紙!$I$161</definedName>
    <definedName name="companycode150">変更別紙!$I$162</definedName>
    <definedName name="companycode151">変更別紙!$I$163</definedName>
    <definedName name="companycode152">変更別紙!$I$164</definedName>
    <definedName name="companycode153">変更別紙!$I$165</definedName>
    <definedName name="companycode154">変更別紙!$I$166</definedName>
    <definedName name="companycode155">変更別紙!$I$167</definedName>
    <definedName name="companycode156">変更別紙!$I$168</definedName>
    <definedName name="companycode157">変更別紙!$I$169</definedName>
    <definedName name="companycode158">変更別紙!$I$170</definedName>
    <definedName name="companycode159">変更別紙!$I$171</definedName>
    <definedName name="companycode160">変更別紙!$I$172</definedName>
    <definedName name="companycode161">変更別紙!$I$173</definedName>
    <definedName name="companycode162">変更別紙!$I$174</definedName>
    <definedName name="companycode163">変更別紙!$I$175</definedName>
    <definedName name="companycode164">変更別紙!$I$176</definedName>
    <definedName name="companycode165">変更別紙!$I$177</definedName>
    <definedName name="companycode166">変更別紙!$I$178</definedName>
    <definedName name="companycode167">変更別紙!$I$179</definedName>
    <definedName name="companycode168">変更別紙!$I$180</definedName>
    <definedName name="companycode169">変更別紙!$I$181</definedName>
    <definedName name="companycode170">変更別紙!$I$182</definedName>
    <definedName name="companycode171">変更別紙!$I$183</definedName>
    <definedName name="companycode172">変更別紙!$I$184</definedName>
    <definedName name="companycode173">変更別紙!$I$185</definedName>
    <definedName name="companycode174">変更別紙!$I$186</definedName>
    <definedName name="companycode175">変更別紙!$I$187</definedName>
    <definedName name="companycode176">変更別紙!$I$188</definedName>
    <definedName name="companycode177">変更別紙!$I$189</definedName>
    <definedName name="companycode178">変更別紙!$I$190</definedName>
    <definedName name="companycode179">変更別紙!$I$191</definedName>
    <definedName name="companycode180">変更別紙!$I$192</definedName>
    <definedName name="companycode181">変更別紙!$I$193</definedName>
    <definedName name="companycode182">変更別紙!$I$194</definedName>
    <definedName name="companycode183">変更別紙!$I$195</definedName>
    <definedName name="companycode184">変更別紙!$I$196</definedName>
    <definedName name="companycode185">変更別紙!$I$197</definedName>
    <definedName name="companycode186">変更別紙!$I$198</definedName>
    <definedName name="companycode187">変更別紙!$I$199</definedName>
    <definedName name="companycode188">変更別紙!$I$200</definedName>
    <definedName name="companycode189">変更別紙!$I$201</definedName>
    <definedName name="companycode190">変更別紙!$I$202</definedName>
    <definedName name="companycode191">変更別紙!$I$203</definedName>
    <definedName name="companycode192">変更別紙!$I$204</definedName>
    <definedName name="companycode193">変更別紙!$I$205</definedName>
    <definedName name="companycode194">変更別紙!$I$206</definedName>
    <definedName name="companycode195">変更別紙!$I$207</definedName>
    <definedName name="companycode196">変更別紙!$I$208</definedName>
    <definedName name="companycode197">変更別紙!$I$209</definedName>
    <definedName name="companycode198">変更別紙!$I$210</definedName>
    <definedName name="companycode199">変更別紙!$I$211</definedName>
    <definedName name="companycode200">変更別紙!$I$212</definedName>
    <definedName name="companycode201">変更別紙!$I$213</definedName>
    <definedName name="companycode202">変更別紙!$I$214</definedName>
    <definedName name="companycode203">変更別紙!$I$215</definedName>
    <definedName name="companycode204">変更別紙!$I$216</definedName>
    <definedName name="companycode205">変更別紙!$I$217</definedName>
    <definedName name="companycode206">変更別紙!$I$218</definedName>
    <definedName name="companycode207">変更別紙!$I$219</definedName>
    <definedName name="companycode208">変更別紙!$I$220</definedName>
    <definedName name="companycode209">変更別紙!$I$221</definedName>
    <definedName name="companycode210">変更別紙!$I$222</definedName>
    <definedName name="companycode211">変更別紙!$I$223</definedName>
    <definedName name="companycode212">変更別紙!$I$224</definedName>
    <definedName name="companycode213">変更別紙!$I$225</definedName>
    <definedName name="companycode214">変更別紙!$I$226</definedName>
    <definedName name="companycode215">変更別紙!$I$227</definedName>
    <definedName name="companycode216">変更別紙!$I$228</definedName>
    <definedName name="companycode217">変更別紙!$I$229</definedName>
    <definedName name="companycode218">変更別紙!$I$230</definedName>
    <definedName name="companycode219">変更別紙!$I$231</definedName>
    <definedName name="companycode220">変更別紙!$I$232</definedName>
    <definedName name="companycode221">変更別紙!$I$233</definedName>
    <definedName name="companycode222">変更別紙!$I$234</definedName>
    <definedName name="companycode223">変更別紙!$I$235</definedName>
    <definedName name="companycode224">変更別紙!$I$236</definedName>
    <definedName name="companycode225">変更別紙!$I$237</definedName>
    <definedName name="companycode226">変更別紙!$I$238</definedName>
    <definedName name="companycode227">変更別紙!$I$239</definedName>
    <definedName name="companycode228">変更別紙!$I$240</definedName>
    <definedName name="companycode229">変更別紙!$I$241</definedName>
    <definedName name="companycode230">変更別紙!$I$242</definedName>
    <definedName name="companycode231">変更別紙!$I$243</definedName>
    <definedName name="companycode232">変更別紙!$I$244</definedName>
    <definedName name="companycode233">変更別紙!$I$245</definedName>
    <definedName name="companycode234">変更別紙!$I$246</definedName>
    <definedName name="companycode235">変更別紙!$I$247</definedName>
    <definedName name="companycode236">変更別紙!$I$248</definedName>
    <definedName name="companycode237">変更別紙!$I$249</definedName>
    <definedName name="companycode238">変更別紙!$I$250</definedName>
    <definedName name="companycode239">変更別紙!$I$251</definedName>
    <definedName name="companycode240">変更別紙!$I$252</definedName>
    <definedName name="companycode241">変更別紙!$I$253</definedName>
    <definedName name="companycode242">変更別紙!$I$254</definedName>
    <definedName name="companycode243">変更別紙!$I$255</definedName>
    <definedName name="companycode244">変更別紙!$I$256</definedName>
    <definedName name="companycode245">変更別紙!$I$257</definedName>
    <definedName name="companycode246">変更別紙!$I$258</definedName>
    <definedName name="companycode247">変更別紙!$I$259</definedName>
    <definedName name="companycode248">変更別紙!$I$260</definedName>
    <definedName name="companycode249">変更別紙!$I$261</definedName>
    <definedName name="companycode250">変更別紙!$I$262</definedName>
    <definedName name="companycode251">変更別紙!$I$263</definedName>
    <definedName name="companycode252">変更別紙!$I$264</definedName>
    <definedName name="companycode253">変更別紙!$I$265</definedName>
    <definedName name="companycode254">変更別紙!$I$266</definedName>
    <definedName name="companycode255">変更別紙!$I$267</definedName>
    <definedName name="companycode256">変更別紙!$I$268</definedName>
    <definedName name="companycode257">変更別紙!$I$269</definedName>
    <definedName name="companycode258">変更別紙!$I$270</definedName>
    <definedName name="companycode259">変更別紙!$I$271</definedName>
    <definedName name="companycode260">変更別紙!$I$272</definedName>
    <definedName name="companycode261">変更別紙!$I$273</definedName>
    <definedName name="companycode262">変更別紙!$I$274</definedName>
    <definedName name="companycode263">変更別紙!$I$275</definedName>
    <definedName name="companycode264">変更別紙!$I$276</definedName>
    <definedName name="companycode265">変更別紙!$I$277</definedName>
    <definedName name="companycode266">変更別紙!$I$278</definedName>
    <definedName name="companycode267">変更別紙!$I$279</definedName>
    <definedName name="companycode268">変更別紙!$I$280</definedName>
    <definedName name="companycode269">変更別紙!$I$281</definedName>
    <definedName name="companycode270">変更別紙!$I$282</definedName>
    <definedName name="companycode271">変更別紙!$I$283</definedName>
    <definedName name="companycode272">変更別紙!$I$284</definedName>
    <definedName name="companycode273">変更別紙!$I$285</definedName>
    <definedName name="companycode274">変更別紙!$I$286</definedName>
    <definedName name="companycode275">変更別紙!$I$287</definedName>
    <definedName name="companycode276">変更別紙!$I$288</definedName>
    <definedName name="companycode277">変更別紙!$I$289</definedName>
    <definedName name="companycode278">変更別紙!$I$290</definedName>
    <definedName name="companycode279">変更別紙!$I$291</definedName>
    <definedName name="companycode280">変更別紙!$I$292</definedName>
    <definedName name="companycode281">変更別紙!$I$293</definedName>
    <definedName name="companycode282">変更別紙!$I$294</definedName>
    <definedName name="companycode283">変更別紙!$I$295</definedName>
    <definedName name="companycode284">変更別紙!$I$296</definedName>
    <definedName name="companycode285">変更別紙!$I$297</definedName>
    <definedName name="companycode286">変更別紙!$I$298</definedName>
    <definedName name="companycode287">変更別紙!$I$299</definedName>
    <definedName name="companycode288">変更別紙!$I$300</definedName>
    <definedName name="companycode289">変更別紙!$I$301</definedName>
    <definedName name="companycode290">変更別紙!$I$302</definedName>
    <definedName name="companycode291">変更別紙!$I$303</definedName>
    <definedName name="companycode292">変更別紙!$I$304</definedName>
    <definedName name="companycode293">変更別紙!$I$305</definedName>
    <definedName name="companycode294">変更別紙!$I$306</definedName>
    <definedName name="companycode295">変更別紙!$I$307</definedName>
    <definedName name="companycode296">変更別紙!$I$308</definedName>
    <definedName name="companycode297">変更別紙!$I$309</definedName>
    <definedName name="companycode298">変更別紙!$I$310</definedName>
    <definedName name="companycode299">変更別紙!$I$311</definedName>
    <definedName name="companycode300">変更別紙!$I$312</definedName>
    <definedName name="companycode301">変更別紙!$I$313</definedName>
    <definedName name="companycode302">変更別紙!$I$314</definedName>
    <definedName name="companycode303">変更別紙!$I$315</definedName>
    <definedName name="companycode304">変更別紙!$I$316</definedName>
    <definedName name="companycode305">変更別紙!$I$317</definedName>
    <definedName name="companycode306">変更別紙!$I$318</definedName>
    <definedName name="companycode307">変更別紙!$I$319</definedName>
    <definedName name="companycode308">変更別紙!$I$320</definedName>
    <definedName name="companycode309">変更別紙!$I$321</definedName>
    <definedName name="companycode310">変更別紙!$I$322</definedName>
    <definedName name="companycode311">変更別紙!$I$323</definedName>
    <definedName name="companycode312">変更別紙!$I$324</definedName>
    <definedName name="companycode313">変更別紙!$I$325</definedName>
    <definedName name="companycode314">変更別紙!$I$326</definedName>
    <definedName name="companycode315">変更別紙!$I$327</definedName>
    <definedName name="companycode316">変更別紙!$I$328</definedName>
    <definedName name="companycode317">変更別紙!$I$329</definedName>
    <definedName name="companycode318">変更別紙!$I$330</definedName>
    <definedName name="companycode319">変更別紙!$I$331</definedName>
    <definedName name="companycode320">変更別紙!$I$332</definedName>
    <definedName name="companycode321">変更別紙!$I$333</definedName>
    <definedName name="companycode322">変更別紙!$I$334</definedName>
    <definedName name="companycode323">変更別紙!$I$335</definedName>
    <definedName name="companycode324">変更別紙!$I$336</definedName>
    <definedName name="companycode325">変更別紙!$I$337</definedName>
    <definedName name="companycode326">変更別紙!$I$338</definedName>
    <definedName name="companycode327">変更別紙!$I$339</definedName>
    <definedName name="companycode328">変更別紙!$I$340</definedName>
    <definedName name="companycode329">変更別紙!$I$341</definedName>
    <definedName name="companycode330">変更別紙!$I$342</definedName>
    <definedName name="companycode331">変更別紙!$I$343</definedName>
    <definedName name="companycode332">変更別紙!$I$344</definedName>
    <definedName name="companycode333">変更別紙!$I$345</definedName>
    <definedName name="companycode334">変更別紙!$I$346</definedName>
    <definedName name="companycode335">変更別紙!$I$347</definedName>
    <definedName name="companycode336">変更別紙!$I$348</definedName>
    <definedName name="companycode337">変更別紙!$I$349</definedName>
    <definedName name="companycode338">変更別紙!$I$350</definedName>
    <definedName name="companycode339">変更別紙!$I$351</definedName>
    <definedName name="companycode340">変更別紙!$I$352</definedName>
    <definedName name="companycode341">変更別紙!$I$353</definedName>
    <definedName name="companycode342">変更別紙!$I$354</definedName>
    <definedName name="companycode343">変更別紙!$I$355</definedName>
    <definedName name="companycode344">変更別紙!$I$356</definedName>
    <definedName name="companycode345">変更別紙!$I$357</definedName>
    <definedName name="companycode346">変更別紙!$I$358</definedName>
    <definedName name="companycode347">変更別紙!$I$359</definedName>
    <definedName name="companycode348">変更別紙!$I$360</definedName>
    <definedName name="companycode349">変更別紙!$I$361</definedName>
    <definedName name="companycode350">変更別紙!$I$362</definedName>
    <definedName name="companycode351">変更別紙!$I$363</definedName>
    <definedName name="companycode352">変更別紙!$I$364</definedName>
    <definedName name="companycode353">変更別紙!$I$365</definedName>
    <definedName name="companycode354">変更別紙!$I$366</definedName>
    <definedName name="companycode355">変更別紙!$I$367</definedName>
    <definedName name="companycode356">変更別紙!$I$368</definedName>
    <definedName name="companycode357">変更別紙!$I$369</definedName>
    <definedName name="companycode358">変更別紙!$I$370</definedName>
    <definedName name="companycode359">変更別紙!$I$371</definedName>
    <definedName name="companycode360">変更別紙!$I$372</definedName>
    <definedName name="companycode361">変更別紙!$I$373</definedName>
    <definedName name="companycode362">変更別紙!$I$374</definedName>
    <definedName name="companycode363">変更別紙!$I$375</definedName>
    <definedName name="companycode364">変更別紙!$I$376</definedName>
    <definedName name="companycode365">変更別紙!$I$377</definedName>
    <definedName name="companycode366">変更別紙!$I$378</definedName>
    <definedName name="companycode367">変更別紙!$I$379</definedName>
    <definedName name="companycode368">変更別紙!$I$380</definedName>
    <definedName name="companycode369">変更別紙!$I$381</definedName>
    <definedName name="companycode370">変更別紙!$I$382</definedName>
    <definedName name="companycode371">変更別紙!$I$383</definedName>
    <definedName name="companycode372">変更別紙!$I$384</definedName>
    <definedName name="companycode373">変更別紙!$I$385</definedName>
    <definedName name="companycode374">変更別紙!$I$386</definedName>
    <definedName name="companycode375">変更別紙!$I$387</definedName>
    <definedName name="companycode376">変更別紙!$I$388</definedName>
    <definedName name="companycode377">変更別紙!$I$389</definedName>
    <definedName name="companycode378">変更別紙!$I$390</definedName>
    <definedName name="companycode379">変更別紙!$I$391</definedName>
    <definedName name="companycode380">変更別紙!$I$392</definedName>
    <definedName name="companycode381">変更別紙!$I$393</definedName>
    <definedName name="companycode382">変更別紙!$I$394</definedName>
    <definedName name="companycode383">変更別紙!$I$395</definedName>
    <definedName name="companycode384">変更別紙!$I$396</definedName>
    <definedName name="companycode385">変更別紙!$I$397</definedName>
    <definedName name="companycode386">変更別紙!$I$398</definedName>
    <definedName name="companycode387">変更別紙!$I$399</definedName>
    <definedName name="companycode388">変更別紙!$I$400</definedName>
    <definedName name="companycode389">変更別紙!$I$401</definedName>
    <definedName name="companycode390">変更別紙!$I$402</definedName>
    <definedName name="companycode391">変更別紙!$I$403</definedName>
    <definedName name="companycode392">変更別紙!$I$404</definedName>
    <definedName name="companycode393">変更別紙!$I$405</definedName>
    <definedName name="companycode394">変更別紙!$I$406</definedName>
    <definedName name="companycode395">変更別紙!$I$407</definedName>
    <definedName name="companycode396">変更別紙!$I$408</definedName>
    <definedName name="companycode397">変更別紙!$I$409</definedName>
    <definedName name="companycode398">変更別紙!$I$410</definedName>
    <definedName name="companycode399">変更別紙!$I$411</definedName>
    <definedName name="companycode400">変更別紙!$I$412</definedName>
    <definedName name="companycode401">変更別紙!$I$413</definedName>
    <definedName name="companycode402">変更別紙!$I$414</definedName>
    <definedName name="companycode403">変更別紙!$I$415</definedName>
    <definedName name="companycode404">変更別紙!$I$416</definedName>
    <definedName name="companycode405">変更別紙!$I$417</definedName>
    <definedName name="companycode406">変更別紙!$I$418</definedName>
    <definedName name="companycode407">変更別紙!$I$419</definedName>
    <definedName name="companycode408">変更別紙!$I$420</definedName>
    <definedName name="companycode409">変更別紙!$I$421</definedName>
    <definedName name="companycode410">変更別紙!$I$422</definedName>
    <definedName name="companycode411">変更別紙!$I$423</definedName>
    <definedName name="companycode412">変更別紙!$I$424</definedName>
    <definedName name="companycode413">変更別紙!$I$425</definedName>
    <definedName name="companycode414">変更別紙!$I$426</definedName>
    <definedName name="companycode415">変更別紙!$I$427</definedName>
    <definedName name="companycode416">変更別紙!$I$428</definedName>
    <definedName name="companycode417">変更別紙!$I$429</definedName>
    <definedName name="companycode418">変更別紙!$I$430</definedName>
    <definedName name="companycode419">変更別紙!$I$431</definedName>
    <definedName name="companycode420">変更別紙!$I$432</definedName>
    <definedName name="companycode421">変更別紙!$I$433</definedName>
    <definedName name="companycode422">変更別紙!$I$434</definedName>
    <definedName name="companycode423">変更別紙!$I$435</definedName>
    <definedName name="companycode424">変更別紙!$I$436</definedName>
    <definedName name="companycode425">変更別紙!$I$437</definedName>
    <definedName name="companycode426">変更別紙!$I$438</definedName>
    <definedName name="companycode427">変更別紙!$I$439</definedName>
    <definedName name="companycode428">変更別紙!$I$440</definedName>
    <definedName name="companycode429">変更別紙!$I$441</definedName>
    <definedName name="companycode430">変更別紙!$I$442</definedName>
    <definedName name="companycode431">変更別紙!$I$443</definedName>
    <definedName name="companycode432">変更別紙!$I$444</definedName>
    <definedName name="companycode433">変更別紙!$I$445</definedName>
    <definedName name="companycode434">変更別紙!$I$446</definedName>
    <definedName name="companycode435">変更別紙!$I$447</definedName>
    <definedName name="companycode436">変更別紙!$I$448</definedName>
    <definedName name="companycode437">変更別紙!$I$449</definedName>
    <definedName name="companycode438">変更別紙!$I$450</definedName>
    <definedName name="companycode439">変更別紙!$I$451</definedName>
    <definedName name="companycode440">変更別紙!$I$452</definedName>
    <definedName name="companycode441">変更別紙!$I$453</definedName>
    <definedName name="companycode442">変更別紙!$I$454</definedName>
    <definedName name="companycode443">変更別紙!$I$455</definedName>
    <definedName name="companycode444">変更別紙!$I$456</definedName>
    <definedName name="companycode445">変更別紙!$I$457</definedName>
    <definedName name="companycode446">変更別紙!$I$458</definedName>
    <definedName name="companycode447">変更別紙!$I$459</definedName>
    <definedName name="companycode448">変更別紙!$I$460</definedName>
    <definedName name="companycode449">変更別紙!$I$461</definedName>
    <definedName name="companycode450">変更別紙!$I$462</definedName>
    <definedName name="companycode451">変更別紙!$I$463</definedName>
    <definedName name="companycode452">変更別紙!$I$464</definedName>
    <definedName name="companycode453">変更別紙!$I$465</definedName>
    <definedName name="companycode454">変更別紙!$I$466</definedName>
    <definedName name="companycode455">変更別紙!$I$467</definedName>
    <definedName name="companycode456">変更別紙!$I$468</definedName>
    <definedName name="companycode457">変更別紙!$I$469</definedName>
    <definedName name="companycode458">変更別紙!$I$470</definedName>
    <definedName name="companycode459">変更別紙!$I$471</definedName>
    <definedName name="companycode460">変更別紙!$I$472</definedName>
    <definedName name="companycode461">変更別紙!$I$473</definedName>
    <definedName name="companycode462">変更別紙!$I$474</definedName>
    <definedName name="companycode463">変更別紙!$I$475</definedName>
    <definedName name="companycode464">変更別紙!$I$476</definedName>
    <definedName name="companycode465">変更別紙!$I$477</definedName>
    <definedName name="companycode466">変更別紙!$I$478</definedName>
    <definedName name="companycode467">変更別紙!$I$479</definedName>
    <definedName name="companycode468">変更別紙!$I$480</definedName>
    <definedName name="companycode469">変更別紙!$I$481</definedName>
    <definedName name="companycode470">変更別紙!$I$482</definedName>
    <definedName name="companycode471">変更別紙!$I$483</definedName>
    <definedName name="companycode472">変更別紙!$I$484</definedName>
    <definedName name="companycode473">変更別紙!$I$485</definedName>
    <definedName name="companycode474">変更別紙!$I$486</definedName>
    <definedName name="companycode475">変更別紙!$I$487</definedName>
    <definedName name="companycode476">変更別紙!$I$488</definedName>
    <definedName name="companycode477">変更別紙!$I$489</definedName>
    <definedName name="companycode478">変更別紙!$I$490</definedName>
    <definedName name="companycode479">変更別紙!$I$491</definedName>
    <definedName name="companycode480">変更別紙!$I$492</definedName>
    <definedName name="companycode481">変更別紙!$I$493</definedName>
    <definedName name="companycode482">変更別紙!$I$494</definedName>
    <definedName name="companycode483">変更別紙!$I$495</definedName>
    <definedName name="companycode484">変更別紙!$I$496</definedName>
    <definedName name="companycode485">変更別紙!$I$497</definedName>
    <definedName name="companycode486">変更別紙!$I$498</definedName>
    <definedName name="companycode487">変更別紙!$I$499</definedName>
    <definedName name="companycode488">変更別紙!$I$500</definedName>
    <definedName name="companycode489">変更別紙!$I$501</definedName>
    <definedName name="companycode490">変更別紙!$I$502</definedName>
    <definedName name="companycode491">変更別紙!$I$503</definedName>
    <definedName name="companycode492">変更別紙!$I$504</definedName>
    <definedName name="companycode493">変更別紙!$I$505</definedName>
    <definedName name="companycode494">変更別紙!$I$506</definedName>
    <definedName name="companycode495">変更別紙!$I$507</definedName>
    <definedName name="companycode496">変更別紙!$I$508</definedName>
    <definedName name="companycode497">変更別紙!$I$509</definedName>
    <definedName name="companycode498">変更別紙!$I$510</definedName>
    <definedName name="companycode499">変更別紙!$I$511</definedName>
    <definedName name="companycode500">変更別紙!$I$512</definedName>
    <definedName name="companyyn001">変更別紙!$H$13</definedName>
    <definedName name="companyyn002">変更別紙!$H$14</definedName>
    <definedName name="companyyn003">変更別紙!$H$15</definedName>
    <definedName name="companyyn004">変更別紙!$H$16</definedName>
    <definedName name="companyyn005">変更別紙!$H$17</definedName>
    <definedName name="companyyn006">変更別紙!$H$18</definedName>
    <definedName name="companyyn007">変更別紙!$H$19</definedName>
    <definedName name="companyyn008">変更別紙!$H$20</definedName>
    <definedName name="companyyn009">変更別紙!$H$21</definedName>
    <definedName name="companyyn010">変更別紙!$H$22</definedName>
    <definedName name="companyyn011">変更別紙!$H$23</definedName>
    <definedName name="companyyn012">変更別紙!$H$24</definedName>
    <definedName name="companyyn013">変更別紙!$H$25</definedName>
    <definedName name="companyyn014">変更別紙!$H$26</definedName>
    <definedName name="companyyn015">変更別紙!$H$27</definedName>
    <definedName name="companyyn016">変更別紙!$H$28</definedName>
    <definedName name="companyyn017">変更別紙!$H$29</definedName>
    <definedName name="companyyn018">変更別紙!$H$30</definedName>
    <definedName name="companyyn019">変更別紙!$H$31</definedName>
    <definedName name="companyyn020">変更別紙!$H$32</definedName>
    <definedName name="companyyn021">変更別紙!$H$33</definedName>
    <definedName name="companyyn022">変更別紙!$H$34</definedName>
    <definedName name="companyyn023">変更別紙!$H$35</definedName>
    <definedName name="companyyn024">変更別紙!$H$36</definedName>
    <definedName name="companyyn025">変更別紙!$H$37</definedName>
    <definedName name="companyyn026">変更別紙!$H$38</definedName>
    <definedName name="companyyn027">変更別紙!$H$39</definedName>
    <definedName name="companyyn028">変更別紙!$H$40</definedName>
    <definedName name="companyyn029">変更別紙!$H$41</definedName>
    <definedName name="companyyn030">変更別紙!$H$42</definedName>
    <definedName name="companyyn031">変更別紙!$H$43</definedName>
    <definedName name="companyyn032">変更別紙!$H$44</definedName>
    <definedName name="companyyn033">変更別紙!$H$45</definedName>
    <definedName name="companyyn034">変更別紙!$H$46</definedName>
    <definedName name="companyyn035">変更別紙!$H$47</definedName>
    <definedName name="companyyn036">変更別紙!$H$48</definedName>
    <definedName name="companyyn037">変更別紙!$H$49</definedName>
    <definedName name="companyyn038">変更別紙!$H$50</definedName>
    <definedName name="companyyn039">変更別紙!$H$51</definedName>
    <definedName name="companyyn040">変更別紙!$H$52</definedName>
    <definedName name="companyyn041">変更別紙!$H$53</definedName>
    <definedName name="companyyn042">変更別紙!$H$54</definedName>
    <definedName name="companyyn043">変更別紙!$H$55</definedName>
    <definedName name="companyyn044">変更別紙!$H$56</definedName>
    <definedName name="companyyn045">変更別紙!$H$57</definedName>
    <definedName name="companyyn046">変更別紙!$H$58</definedName>
    <definedName name="companyyn047">変更別紙!$H$59</definedName>
    <definedName name="companyyn048">変更別紙!$H$60</definedName>
    <definedName name="companyyn049">変更別紙!$H$61</definedName>
    <definedName name="companyyn050">変更別紙!$H$62</definedName>
    <definedName name="companyyn051">変更別紙!$H$63</definedName>
    <definedName name="companyyn052">変更別紙!$H$64</definedName>
    <definedName name="companyyn053">変更別紙!$H$65</definedName>
    <definedName name="companyyn054">変更別紙!$H$66</definedName>
    <definedName name="companyyn055">変更別紙!$H$67</definedName>
    <definedName name="companyyn056">変更別紙!$H$68</definedName>
    <definedName name="companyyn057">変更別紙!$H$69</definedName>
    <definedName name="companyyn058">変更別紙!$H$70</definedName>
    <definedName name="companyyn059">変更別紙!$H$71</definedName>
    <definedName name="companyyn060">変更別紙!$H$72</definedName>
    <definedName name="companyyn061">変更別紙!$H$73</definedName>
    <definedName name="companyyn062">変更別紙!$H$74</definedName>
    <definedName name="companyyn063">変更別紙!$H$75</definedName>
    <definedName name="companyyn064">変更別紙!$H$76</definedName>
    <definedName name="companyyn065">変更別紙!$H$77</definedName>
    <definedName name="companyyn066">変更別紙!$H$78</definedName>
    <definedName name="companyyn067">変更別紙!$H$79</definedName>
    <definedName name="companyyn068">変更別紙!$H$80</definedName>
    <definedName name="companyyn069">変更別紙!$H$81</definedName>
    <definedName name="companyyn070">変更別紙!$H$82</definedName>
    <definedName name="companyyn071">変更別紙!$H$83</definedName>
    <definedName name="companyyn072">変更別紙!$H$84</definedName>
    <definedName name="companyyn073">変更別紙!$H$85</definedName>
    <definedName name="companyyn074">変更別紙!$H$86</definedName>
    <definedName name="companyyn075">変更別紙!$H$87</definedName>
    <definedName name="companyyn076">変更別紙!$H$88</definedName>
    <definedName name="companyyn077">変更別紙!$H$89</definedName>
    <definedName name="companyyn078">変更別紙!$H$90</definedName>
    <definedName name="companyyn079">変更別紙!$H$91</definedName>
    <definedName name="companyyn080">変更別紙!$H$92</definedName>
    <definedName name="companyyn081">変更別紙!$H$93</definedName>
    <definedName name="companyyn082">変更別紙!$H$94</definedName>
    <definedName name="companyyn083">変更別紙!$H$95</definedName>
    <definedName name="companyyn084">変更別紙!$H$96</definedName>
    <definedName name="companyyn085">変更別紙!$H$97</definedName>
    <definedName name="companyyn086">変更別紙!$H$98</definedName>
    <definedName name="companyyn087">変更別紙!$H$99</definedName>
    <definedName name="companyyn088">変更別紙!$H$100</definedName>
    <definedName name="companyyn089">変更別紙!$H$101</definedName>
    <definedName name="companyyn090">変更別紙!$H$102</definedName>
    <definedName name="companyyn091">変更別紙!$H$103</definedName>
    <definedName name="companyyn092">変更別紙!$H$104</definedName>
    <definedName name="companyyn093">変更別紙!$H$105</definedName>
    <definedName name="companyyn094">変更別紙!$H$106</definedName>
    <definedName name="companyyn095">変更別紙!$H$107</definedName>
    <definedName name="companyyn096">変更別紙!$H$108</definedName>
    <definedName name="companyyn097">変更別紙!$H$109</definedName>
    <definedName name="companyyn098">変更別紙!$H$110</definedName>
    <definedName name="companyyn099">変更別紙!$H$111</definedName>
    <definedName name="companyyn100">変更別紙!$H$112</definedName>
    <definedName name="companyyn101">変更別紙!$H$113</definedName>
    <definedName name="companyyn102">変更別紙!$H$114</definedName>
    <definedName name="companyyn103">変更別紙!$H$115</definedName>
    <definedName name="companyyn104">変更別紙!$H$116</definedName>
    <definedName name="companyyn105">変更別紙!$H$117</definedName>
    <definedName name="companyyn106">変更別紙!$H$118</definedName>
    <definedName name="companyyn107">変更別紙!$H$119</definedName>
    <definedName name="companyyn108">変更別紙!$H$120</definedName>
    <definedName name="companyyn109">変更別紙!$H$121</definedName>
    <definedName name="companyyn110">変更別紙!$H$122</definedName>
    <definedName name="companyyn111">変更別紙!$H$123</definedName>
    <definedName name="companyyn112">変更別紙!$H$124</definedName>
    <definedName name="companyyn113">変更別紙!$H$125</definedName>
    <definedName name="companyyn114">変更別紙!$H$126</definedName>
    <definedName name="companyyn115">変更別紙!$H$127</definedName>
    <definedName name="companyyn116">変更別紙!$H$128</definedName>
    <definedName name="companyyn117">変更別紙!$H$129</definedName>
    <definedName name="companyyn118">変更別紙!$H$130</definedName>
    <definedName name="companyyn119">変更別紙!$H$131</definedName>
    <definedName name="companyyn120">変更別紙!$H$132</definedName>
    <definedName name="companyyn121">変更別紙!$H$133</definedName>
    <definedName name="companyyn122">変更別紙!$H$134</definedName>
    <definedName name="companyyn123">変更別紙!$H$135</definedName>
    <definedName name="companyyn124">変更別紙!$H$136</definedName>
    <definedName name="companyyn125">変更別紙!$H$137</definedName>
    <definedName name="companyyn126">変更別紙!$H$138</definedName>
    <definedName name="companyyn127">変更別紙!$H$139</definedName>
    <definedName name="companyyn128">変更別紙!$H$140</definedName>
    <definedName name="companyyn129">変更別紙!$H$141</definedName>
    <definedName name="companyyn130">変更別紙!$H$142</definedName>
    <definedName name="companyyn131">変更別紙!$H$143</definedName>
    <definedName name="companyyn132">変更別紙!$H$144</definedName>
    <definedName name="companyyn133">変更別紙!$H$145</definedName>
    <definedName name="companyyn134">変更別紙!$H$146</definedName>
    <definedName name="companyyn135">変更別紙!$H$147</definedName>
    <definedName name="companyyn136">変更別紙!$H$148</definedName>
    <definedName name="companyyn137">変更別紙!$H$149</definedName>
    <definedName name="companyyn138">変更別紙!$H$150</definedName>
    <definedName name="companyyn139">変更別紙!$H$151</definedName>
    <definedName name="companyyn140">変更別紙!$H$152</definedName>
    <definedName name="companyyn141">変更別紙!$H$153</definedName>
    <definedName name="companyyn142">変更別紙!$H$154</definedName>
    <definedName name="companyyn143">変更別紙!$H$155</definedName>
    <definedName name="companyyn144">変更別紙!$H$156</definedName>
    <definedName name="companyyn145">変更別紙!$H$157</definedName>
    <definedName name="companyyn146">変更別紙!$H$158</definedName>
    <definedName name="companyyn147">変更別紙!$H$159</definedName>
    <definedName name="companyyn148">変更別紙!$H$160</definedName>
    <definedName name="companyyn149">変更別紙!$H$161</definedName>
    <definedName name="companyyn150">変更別紙!$H$162</definedName>
    <definedName name="companyyn151">変更別紙!$H$163</definedName>
    <definedName name="companyyn152">変更別紙!$H$164</definedName>
    <definedName name="companyyn153">変更別紙!$H$165</definedName>
    <definedName name="companyyn154">変更別紙!$H$166</definedName>
    <definedName name="companyyn155">変更別紙!$H$167</definedName>
    <definedName name="companyyn156">変更別紙!$H$168</definedName>
    <definedName name="companyyn157">変更別紙!$H$169</definedName>
    <definedName name="companyyn158">変更別紙!$H$170</definedName>
    <definedName name="companyyn159">変更別紙!$H$171</definedName>
    <definedName name="companyyn160">変更別紙!$H$172</definedName>
    <definedName name="companyyn161">変更別紙!$H$173</definedName>
    <definedName name="companyyn162">変更別紙!$H$174</definedName>
    <definedName name="companyyn163">変更別紙!$H$175</definedName>
    <definedName name="companyyn164">変更別紙!$H$176</definedName>
    <definedName name="companyyn165">変更別紙!$H$177</definedName>
    <definedName name="companyyn166">変更別紙!$H$178</definedName>
    <definedName name="companyyn167">変更別紙!$H$179</definedName>
    <definedName name="companyyn168">変更別紙!$H$180</definedName>
    <definedName name="companyyn169">変更別紙!$H$181</definedName>
    <definedName name="companyyn170">変更別紙!$H$182</definedName>
    <definedName name="companyyn171">変更別紙!$H$183</definedName>
    <definedName name="companyyn172">変更別紙!$H$184</definedName>
    <definedName name="companyyn173">変更別紙!$H$185</definedName>
    <definedName name="companyyn174">変更別紙!$H$186</definedName>
    <definedName name="companyyn175">変更別紙!$H$187</definedName>
    <definedName name="companyyn176">変更別紙!$H$188</definedName>
    <definedName name="companyyn177">変更別紙!$H$189</definedName>
    <definedName name="companyyn178">変更別紙!$H$190</definedName>
    <definedName name="companyyn179">変更別紙!$H$191</definedName>
    <definedName name="companyyn180">変更別紙!$H$192</definedName>
    <definedName name="companyyn181">変更別紙!$H$193</definedName>
    <definedName name="companyyn182">変更別紙!$H$194</definedName>
    <definedName name="companyyn183">変更別紙!$H$195</definedName>
    <definedName name="companyyn184">変更別紙!$H$196</definedName>
    <definedName name="companyyn185">変更別紙!$H$197</definedName>
    <definedName name="companyyn186">変更別紙!$H$198</definedName>
    <definedName name="companyyn187">変更別紙!$H$199</definedName>
    <definedName name="companyyn188">変更別紙!$H$200</definedName>
    <definedName name="companyyn189">変更別紙!$H$201</definedName>
    <definedName name="companyyn190">変更別紙!$H$202</definedName>
    <definedName name="companyyn191">変更別紙!$H$203</definedName>
    <definedName name="companyyn192">変更別紙!$H$204</definedName>
    <definedName name="companyyn193">変更別紙!$H$205</definedName>
    <definedName name="companyyn194">変更別紙!$H$206</definedName>
    <definedName name="companyyn195">変更別紙!$H$207</definedName>
    <definedName name="companyyn196">変更別紙!$H$208</definedName>
    <definedName name="companyyn197">変更別紙!$H$209</definedName>
    <definedName name="companyyn198">変更別紙!$H$210</definedName>
    <definedName name="companyyn199">変更別紙!$H$211</definedName>
    <definedName name="companyyn200">変更別紙!$H$212</definedName>
    <definedName name="companyyn201">変更別紙!$H$213</definedName>
    <definedName name="companyyn202">変更別紙!$H$214</definedName>
    <definedName name="companyyn203">変更別紙!$H$215</definedName>
    <definedName name="companyyn204">変更別紙!$H$216</definedName>
    <definedName name="companyyn205">変更別紙!$H$217</definedName>
    <definedName name="companyyn206">変更別紙!$H$218</definedName>
    <definedName name="companyyn207">変更別紙!$H$219</definedName>
    <definedName name="companyyn208">変更別紙!$H$220</definedName>
    <definedName name="companyyn209">変更別紙!$H$221</definedName>
    <definedName name="companyyn210">変更別紙!$H$222</definedName>
    <definedName name="companyyn211">変更別紙!$H$223</definedName>
    <definedName name="companyyn212">変更別紙!$H$224</definedName>
    <definedName name="companyyn213">変更別紙!$H$225</definedName>
    <definedName name="companyyn214">変更別紙!$H$226</definedName>
    <definedName name="companyyn215">変更別紙!$H$227</definedName>
    <definedName name="companyyn216">変更別紙!$H$228</definedName>
    <definedName name="companyyn217">変更別紙!$H$229</definedName>
    <definedName name="companyyn218">変更別紙!$H$230</definedName>
    <definedName name="companyyn219">変更別紙!$H$231</definedName>
    <definedName name="companyyn220">変更別紙!$H$232</definedName>
    <definedName name="companyyn221">変更別紙!$H$233</definedName>
    <definedName name="companyyn222">変更別紙!$H$234</definedName>
    <definedName name="companyyn223">変更別紙!$H$235</definedName>
    <definedName name="companyyn224">変更別紙!$H$236</definedName>
    <definedName name="companyyn225">変更別紙!$H$237</definedName>
    <definedName name="companyyn226">変更別紙!$H$238</definedName>
    <definedName name="companyyn227">変更別紙!$H$239</definedName>
    <definedName name="companyyn228">変更別紙!$H$240</definedName>
    <definedName name="companyyn229">変更別紙!$H$241</definedName>
    <definedName name="companyyn230">変更別紙!$H$242</definedName>
    <definedName name="companyyn231">変更別紙!$H$243</definedName>
    <definedName name="companyyn232">変更別紙!$H$244</definedName>
    <definedName name="companyyn233">変更別紙!$H$245</definedName>
    <definedName name="companyyn234">変更別紙!$H$246</definedName>
    <definedName name="companyyn235">変更別紙!$H$247</definedName>
    <definedName name="companyyn236">変更別紙!$H$248</definedName>
    <definedName name="companyyn237">変更別紙!$H$249</definedName>
    <definedName name="companyyn238">変更別紙!$H$250</definedName>
    <definedName name="companyyn239">変更別紙!$H$251</definedName>
    <definedName name="companyyn240">変更別紙!$H$252</definedName>
    <definedName name="companyyn241">変更別紙!$H$253</definedName>
    <definedName name="companyyn242">変更別紙!$H$254</definedName>
    <definedName name="companyyn243">変更別紙!$H$255</definedName>
    <definedName name="companyyn244">変更別紙!$H$256</definedName>
    <definedName name="companyyn245">変更別紙!$H$257</definedName>
    <definedName name="companyyn246">変更別紙!$H$258</definedName>
    <definedName name="companyyn247">変更別紙!$H$259</definedName>
    <definedName name="companyyn248">変更別紙!$H$260</definedName>
    <definedName name="companyyn249">変更別紙!$H$261</definedName>
    <definedName name="companyyn250">変更別紙!$H$262</definedName>
    <definedName name="companyyn251">変更別紙!$H$263</definedName>
    <definedName name="companyyn252">変更別紙!$H$264</definedName>
    <definedName name="companyyn253">変更別紙!$H$265</definedName>
    <definedName name="companyyn254">変更別紙!$H$266</definedName>
    <definedName name="companyyn255">変更別紙!$H$267</definedName>
    <definedName name="companyyn256">変更別紙!$H$268</definedName>
    <definedName name="companyyn257">変更別紙!$H$269</definedName>
    <definedName name="companyyn258">変更別紙!$H$270</definedName>
    <definedName name="companyyn259">変更別紙!$H$271</definedName>
    <definedName name="companyyn260">変更別紙!$H$272</definedName>
    <definedName name="companyyn261">変更別紙!$H$273</definedName>
    <definedName name="companyyn262">変更別紙!$H$274</definedName>
    <definedName name="companyyn263">変更別紙!$H$275</definedName>
    <definedName name="companyyn264">変更別紙!$H$276</definedName>
    <definedName name="companyyn265">変更別紙!$H$277</definedName>
    <definedName name="companyyn266">変更別紙!$H$278</definedName>
    <definedName name="companyyn267">変更別紙!$H$279</definedName>
    <definedName name="companyyn268">変更別紙!$H$280</definedName>
    <definedName name="companyyn269">変更別紙!$H$281</definedName>
    <definedName name="companyyn270">変更別紙!$H$282</definedName>
    <definedName name="companyyn271">変更別紙!$H$283</definedName>
    <definedName name="companyyn272">変更別紙!$H$284</definedName>
    <definedName name="companyyn273">変更別紙!$H$285</definedName>
    <definedName name="companyyn274">変更別紙!$H$286</definedName>
    <definedName name="companyyn275">変更別紙!$H$287</definedName>
    <definedName name="companyyn276">変更別紙!$H$288</definedName>
    <definedName name="companyyn277">変更別紙!$H$289</definedName>
    <definedName name="companyyn278">変更別紙!$H$290</definedName>
    <definedName name="companyyn279">変更別紙!$H$291</definedName>
    <definedName name="companyyn280">変更別紙!$H$292</definedName>
    <definedName name="companyyn281">変更別紙!$H$293</definedName>
    <definedName name="companyyn282">変更別紙!$H$294</definedName>
    <definedName name="companyyn283">変更別紙!$H$295</definedName>
    <definedName name="companyyn284">変更別紙!$H$296</definedName>
    <definedName name="companyyn285">変更別紙!$H$297</definedName>
    <definedName name="companyyn286">変更別紙!$H$298</definedName>
    <definedName name="companyyn287">変更別紙!$H$299</definedName>
    <definedName name="companyyn288">変更別紙!$H$300</definedName>
    <definedName name="companyyn289">変更別紙!$H$301</definedName>
    <definedName name="companyyn290">変更別紙!$H$302</definedName>
    <definedName name="companyyn291">変更別紙!$H$303</definedName>
    <definedName name="companyyn292">変更別紙!$H$304</definedName>
    <definedName name="companyyn293">変更別紙!$H$305</definedName>
    <definedName name="companyyn294">変更別紙!$H$306</definedName>
    <definedName name="companyyn295">変更別紙!$H$307</definedName>
    <definedName name="companyyn296">変更別紙!$H$308</definedName>
    <definedName name="companyyn297">変更別紙!$H$309</definedName>
    <definedName name="companyyn298">変更別紙!$H$310</definedName>
    <definedName name="companyyn299">変更別紙!$H$311</definedName>
    <definedName name="companyyn300">変更別紙!$H$312</definedName>
    <definedName name="companyyn301">変更別紙!$H$313</definedName>
    <definedName name="companyyn302">変更別紙!$H$314</definedName>
    <definedName name="companyyn303">変更別紙!$H$315</definedName>
    <definedName name="companyyn304">変更別紙!$H$316</definedName>
    <definedName name="companyyn305">変更別紙!$H$317</definedName>
    <definedName name="companyyn306">変更別紙!$H$318</definedName>
    <definedName name="companyyn307">変更別紙!$H$319</definedName>
    <definedName name="companyyn308">変更別紙!$H$320</definedName>
    <definedName name="companyyn309">変更別紙!$H$321</definedName>
    <definedName name="companyyn310">変更別紙!$H$322</definedName>
    <definedName name="companyyn311">変更別紙!$H$323</definedName>
    <definedName name="companyyn312">変更別紙!$H$324</definedName>
    <definedName name="companyyn313">変更別紙!$H$325</definedName>
    <definedName name="companyyn314">変更別紙!$H$326</definedName>
    <definedName name="companyyn315">変更別紙!$H$327</definedName>
    <definedName name="companyyn316">変更別紙!$H$328</definedName>
    <definedName name="companyyn317">変更別紙!$H$329</definedName>
    <definedName name="companyyn318">変更別紙!$H$330</definedName>
    <definedName name="companyyn319">変更別紙!$H$331</definedName>
    <definedName name="companyyn320">変更別紙!$H$332</definedName>
    <definedName name="companyyn321">変更別紙!$H$333</definedName>
    <definedName name="companyyn322">変更別紙!$H$334</definedName>
    <definedName name="companyyn323">変更別紙!$H$335</definedName>
    <definedName name="companyyn324">変更別紙!$H$336</definedName>
    <definedName name="companyyn325">変更別紙!$H$337</definedName>
    <definedName name="companyyn326">変更別紙!$H$338</definedName>
    <definedName name="companyyn327">変更別紙!$H$339</definedName>
    <definedName name="companyyn328">変更別紙!$H$340</definedName>
    <definedName name="companyyn329">変更別紙!$H$341</definedName>
    <definedName name="companyyn330">変更別紙!$H$342</definedName>
    <definedName name="companyyn331">変更別紙!$H$343</definedName>
    <definedName name="companyyn332">変更別紙!$H$344</definedName>
    <definedName name="companyyn333">変更別紙!$H$345</definedName>
    <definedName name="companyyn334">変更別紙!$H$346</definedName>
    <definedName name="companyyn335">変更別紙!$H$347</definedName>
    <definedName name="companyyn336">変更別紙!$H$348</definedName>
    <definedName name="companyyn337">変更別紙!$H$349</definedName>
    <definedName name="companyyn338">変更別紙!$H$350</definedName>
    <definedName name="companyyn339">変更別紙!$H$351</definedName>
    <definedName name="companyyn340">変更別紙!$H$352</definedName>
    <definedName name="companyyn341">変更別紙!$H$353</definedName>
    <definedName name="companyyn342">変更別紙!$H$354</definedName>
    <definedName name="companyyn343">変更別紙!$H$355</definedName>
    <definedName name="companyyn344">変更別紙!$H$356</definedName>
    <definedName name="companyyn345">変更別紙!$H$357</definedName>
    <definedName name="companyyn346">変更別紙!$H$358</definedName>
    <definedName name="companyyn347">変更別紙!$H$359</definedName>
    <definedName name="companyyn348">変更別紙!$H$360</definedName>
    <definedName name="companyyn349">変更別紙!$H$361</definedName>
    <definedName name="companyyn350">変更別紙!$H$362</definedName>
    <definedName name="companyyn351">変更別紙!$H$363</definedName>
    <definedName name="companyyn352">変更別紙!$H$364</definedName>
    <definedName name="companyyn353">変更別紙!$H$365</definedName>
    <definedName name="companyyn354">変更別紙!$H$366</definedName>
    <definedName name="companyyn355">変更別紙!$H$367</definedName>
    <definedName name="companyyn356">変更別紙!$H$368</definedName>
    <definedName name="companyyn357">変更別紙!$H$369</definedName>
    <definedName name="companyyn358">変更別紙!$H$370</definedName>
    <definedName name="companyyn359">変更別紙!$H$371</definedName>
    <definedName name="companyyn360">変更別紙!$H$372</definedName>
    <definedName name="companyyn361">変更別紙!$H$373</definedName>
    <definedName name="companyyn362">変更別紙!$H$374</definedName>
    <definedName name="companyyn363">変更別紙!$H$375</definedName>
    <definedName name="companyyn364">変更別紙!$H$376</definedName>
    <definedName name="companyyn365">変更別紙!$H$377</definedName>
    <definedName name="companyyn366">変更別紙!$H$378</definedName>
    <definedName name="companyyn367">変更別紙!$H$379</definedName>
    <definedName name="companyyn368">変更別紙!$H$380</definedName>
    <definedName name="companyyn369">変更別紙!$H$381</definedName>
    <definedName name="companyyn370">変更別紙!$H$382</definedName>
    <definedName name="companyyn371">変更別紙!$H$383</definedName>
    <definedName name="companyyn372">変更別紙!$H$384</definedName>
    <definedName name="companyyn373">変更別紙!$H$385</definedName>
    <definedName name="companyyn374">変更別紙!$H$386</definedName>
    <definedName name="companyyn375">変更別紙!$H$387</definedName>
    <definedName name="companyyn376">変更別紙!$H$388</definedName>
    <definedName name="companyyn377">変更別紙!$H$389</definedName>
    <definedName name="companyyn378">変更別紙!$H$390</definedName>
    <definedName name="companyyn379">変更別紙!$H$391</definedName>
    <definedName name="companyyn380">変更別紙!$H$392</definedName>
    <definedName name="companyyn381">変更別紙!$H$393</definedName>
    <definedName name="companyyn382">変更別紙!$H$394</definedName>
    <definedName name="companyyn383">変更別紙!$H$395</definedName>
    <definedName name="companyyn384">変更別紙!$H$396</definedName>
    <definedName name="companyyn385">変更別紙!$H$397</definedName>
    <definedName name="companyyn386">変更別紙!$H$398</definedName>
    <definedName name="companyyn387">変更別紙!$H$399</definedName>
    <definedName name="companyyn388">変更別紙!$H$400</definedName>
    <definedName name="companyyn389">変更別紙!$H$401</definedName>
    <definedName name="companyyn390">変更別紙!$H$402</definedName>
    <definedName name="companyyn391">変更別紙!$H$403</definedName>
    <definedName name="companyyn392">変更別紙!$H$404</definedName>
    <definedName name="companyyn393">変更別紙!$H$405</definedName>
    <definedName name="companyyn394">変更別紙!$H$406</definedName>
    <definedName name="companyyn395">変更別紙!$H$407</definedName>
    <definedName name="companyyn396">変更別紙!$H$408</definedName>
    <definedName name="companyyn397">変更別紙!$H$409</definedName>
    <definedName name="companyyn398">変更別紙!$H$410</definedName>
    <definedName name="companyyn399">変更別紙!$H$411</definedName>
    <definedName name="companyyn400">変更別紙!$H$412</definedName>
    <definedName name="companyyn401">変更別紙!$H$413</definedName>
    <definedName name="companyyn402">変更別紙!$H$414</definedName>
    <definedName name="companyyn403">変更別紙!$H$415</definedName>
    <definedName name="companyyn404">変更別紙!$H$416</definedName>
    <definedName name="companyyn405">変更別紙!$H$417</definedName>
    <definedName name="companyyn406">変更別紙!$H$418</definedName>
    <definedName name="companyyn407">変更別紙!$H$419</definedName>
    <definedName name="companyyn408">変更別紙!$H$420</definedName>
    <definedName name="companyyn409">変更別紙!$H$421</definedName>
    <definedName name="companyyn410">変更別紙!$H$422</definedName>
    <definedName name="companyyn411">変更別紙!$H$423</definedName>
    <definedName name="companyyn412">変更別紙!$H$424</definedName>
    <definedName name="companyyn413">変更別紙!$H$425</definedName>
    <definedName name="companyyn414">変更別紙!$H$426</definedName>
    <definedName name="companyyn415">変更別紙!$H$427</definedName>
    <definedName name="companyyn416">変更別紙!$H$428</definedName>
    <definedName name="companyyn417">変更別紙!$H$429</definedName>
    <definedName name="companyyn418">変更別紙!$H$430</definedName>
    <definedName name="companyyn419">変更別紙!$H$431</definedName>
    <definedName name="companyyn420">変更別紙!$H$432</definedName>
    <definedName name="companyyn421">変更別紙!$H$433</definedName>
    <definedName name="companyyn422">変更別紙!$H$434</definedName>
    <definedName name="companyyn423">変更別紙!$H$435</definedName>
    <definedName name="companyyn424">変更別紙!$H$436</definedName>
    <definedName name="companyyn425">変更別紙!$H$437</definedName>
    <definedName name="companyyn426">変更別紙!$H$438</definedName>
    <definedName name="companyyn427">変更別紙!$H$439</definedName>
    <definedName name="companyyn428">変更別紙!$H$440</definedName>
    <definedName name="companyyn429">変更別紙!$H$441</definedName>
    <definedName name="companyyn430">変更別紙!$H$442</definedName>
    <definedName name="companyyn431">変更別紙!$H$443</definedName>
    <definedName name="companyyn432">変更別紙!$H$444</definedName>
    <definedName name="companyyn433">変更別紙!$H$445</definedName>
    <definedName name="companyyn434">変更別紙!$H$446</definedName>
    <definedName name="companyyn435">変更別紙!$H$447</definedName>
    <definedName name="companyyn436">変更別紙!$H$448</definedName>
    <definedName name="companyyn437">変更別紙!$H$449</definedName>
    <definedName name="companyyn438">変更別紙!$H$450</definedName>
    <definedName name="companyyn439">変更別紙!$H$451</definedName>
    <definedName name="companyyn440">変更別紙!$H$452</definedName>
    <definedName name="companyyn441">変更別紙!$H$453</definedName>
    <definedName name="companyyn442">変更別紙!$H$454</definedName>
    <definedName name="companyyn443">変更別紙!$H$455</definedName>
    <definedName name="companyyn444">変更別紙!$H$456</definedName>
    <definedName name="companyyn445">変更別紙!$H$457</definedName>
    <definedName name="companyyn446">変更別紙!$H$458</definedName>
    <definedName name="companyyn447">変更別紙!$H$459</definedName>
    <definedName name="companyyn448">変更別紙!$H$460</definedName>
    <definedName name="companyyn449">変更別紙!$H$461</definedName>
    <definedName name="companyyn450">変更別紙!$H$462</definedName>
    <definedName name="companyyn451">変更別紙!$H$463</definedName>
    <definedName name="companyyn452">変更別紙!$H$464</definedName>
    <definedName name="companyyn453">変更別紙!$H$465</definedName>
    <definedName name="companyyn454">変更別紙!$H$466</definedName>
    <definedName name="companyyn455">変更別紙!$H$467</definedName>
    <definedName name="companyyn456">変更別紙!$H$468</definedName>
    <definedName name="companyyn457">変更別紙!$H$469</definedName>
    <definedName name="companyyn458">変更別紙!$H$470</definedName>
    <definedName name="companyyn459">変更別紙!$H$471</definedName>
    <definedName name="companyyn460">変更別紙!$H$472</definedName>
    <definedName name="companyyn461">変更別紙!$H$473</definedName>
    <definedName name="companyyn462">変更別紙!$H$474</definedName>
    <definedName name="companyyn463">変更別紙!$H$475</definedName>
    <definedName name="companyyn464">変更別紙!$H$476</definedName>
    <definedName name="companyyn465">変更別紙!$H$477</definedName>
    <definedName name="companyyn466">変更別紙!$H$478</definedName>
    <definedName name="companyyn467">変更別紙!$H$479</definedName>
    <definedName name="companyyn468">変更別紙!$H$480</definedName>
    <definedName name="companyyn469">変更別紙!$H$481</definedName>
    <definedName name="companyyn470">変更別紙!$H$482</definedName>
    <definedName name="companyyn471">変更別紙!$H$483</definedName>
    <definedName name="companyyn472">変更別紙!$H$484</definedName>
    <definedName name="companyyn473">変更別紙!$H$485</definedName>
    <definedName name="companyyn474">変更別紙!$H$486</definedName>
    <definedName name="companyyn475">変更別紙!$H$487</definedName>
    <definedName name="companyyn476">変更別紙!$H$488</definedName>
    <definedName name="companyyn477">変更別紙!$H$489</definedName>
    <definedName name="companyyn478">変更別紙!$H$490</definedName>
    <definedName name="companyyn479">変更別紙!$H$491</definedName>
    <definedName name="companyyn480">変更別紙!$H$492</definedName>
    <definedName name="companyyn481">変更別紙!$H$493</definedName>
    <definedName name="companyyn482">変更別紙!$H$494</definedName>
    <definedName name="companyyn483">変更別紙!$H$495</definedName>
    <definedName name="companyyn484">変更別紙!$H$496</definedName>
    <definedName name="companyyn485">変更別紙!$H$497</definedName>
    <definedName name="companyyn486">変更別紙!$H$498</definedName>
    <definedName name="companyyn487">変更別紙!$H$499</definedName>
    <definedName name="companyyn488">変更別紙!$H$500</definedName>
    <definedName name="companyyn489">変更別紙!$H$501</definedName>
    <definedName name="companyyn490">変更別紙!$H$502</definedName>
    <definedName name="companyyn491">変更別紙!$H$503</definedName>
    <definedName name="companyyn492">変更別紙!$H$504</definedName>
    <definedName name="companyyn493">変更別紙!$H$505</definedName>
    <definedName name="companyyn494">変更別紙!$H$506</definedName>
    <definedName name="companyyn495">変更別紙!$H$507</definedName>
    <definedName name="companyyn496">変更別紙!$H$508</definedName>
    <definedName name="companyyn497">変更別紙!$H$509</definedName>
    <definedName name="companyyn498">変更別紙!$H$510</definedName>
    <definedName name="companyyn499">変更別紙!$H$511</definedName>
    <definedName name="companyyn500">変更別紙!$H$512</definedName>
    <definedName name="contractCustomerAddress">変更お申込書!$K$16</definedName>
    <definedName name="contractCustomerAddress2">変更お申込書!$K$17</definedName>
    <definedName name="contractCustomerAddressKana">変更お申込書!$K$15</definedName>
    <definedName name="contractCustomerName">変更お申込書!$K$13</definedName>
    <definedName name="contractCustomerNameKana">変更お申込書!$K$12</definedName>
    <definedName name="contractCustomerPostalNumber">変更お申込書!$K$14</definedName>
    <definedName name="formVersion">変更お申込書!$AI$5</definedName>
    <definedName name="keiyakuid001">変更別紙!$G$13</definedName>
    <definedName name="keiyakuid002">変更別紙!$G$14</definedName>
    <definedName name="keiyakuid003">変更別紙!$G$15</definedName>
    <definedName name="keiyakuid004">変更別紙!$G$16</definedName>
    <definedName name="keiyakuid005">変更別紙!$G$17</definedName>
    <definedName name="keiyakuid006">変更別紙!$G$18</definedName>
    <definedName name="keiyakuid007">変更別紙!$G$19</definedName>
    <definedName name="keiyakuid008">変更別紙!$G$20</definedName>
    <definedName name="keiyakuid009">変更別紙!$G$21</definedName>
    <definedName name="keiyakuid010">変更別紙!$G$22</definedName>
    <definedName name="keiyakuid011">変更別紙!$G$23</definedName>
    <definedName name="keiyakuid012">変更別紙!$G$24</definedName>
    <definedName name="keiyakuid013">変更別紙!$G$25</definedName>
    <definedName name="keiyakuid014">変更別紙!$G$26</definedName>
    <definedName name="keiyakuid015">変更別紙!$G$27</definedName>
    <definedName name="keiyakuid016">変更別紙!$G$28</definedName>
    <definedName name="keiyakuid017">変更別紙!$G$29</definedName>
    <definedName name="keiyakuid018">変更別紙!$G$30</definedName>
    <definedName name="keiyakuid019">変更別紙!$G$31</definedName>
    <definedName name="keiyakuid020">変更別紙!$G$32</definedName>
    <definedName name="keiyakuid021">変更別紙!$G$33</definedName>
    <definedName name="keiyakuid022">変更別紙!$G$34</definedName>
    <definedName name="keiyakuid023">変更別紙!$G$35</definedName>
    <definedName name="keiyakuid024">変更別紙!$G$36</definedName>
    <definedName name="keiyakuid025">変更別紙!$G$37</definedName>
    <definedName name="keiyakuid026">変更別紙!$G$38</definedName>
    <definedName name="keiyakuid027">変更別紙!$G$39</definedName>
    <definedName name="keiyakuid028">変更別紙!$G$40</definedName>
    <definedName name="keiyakuid029">変更別紙!$G$41</definedName>
    <definedName name="keiyakuid030">変更別紙!$G$42</definedName>
    <definedName name="keiyakuid031">変更別紙!$G$43</definedName>
    <definedName name="keiyakuid032">変更別紙!$G$44</definedName>
    <definedName name="keiyakuid033">変更別紙!$G$45</definedName>
    <definedName name="keiyakuid034">変更別紙!$G$46</definedName>
    <definedName name="keiyakuid035">変更別紙!$G$47</definedName>
    <definedName name="keiyakuid036">変更別紙!$G$48</definedName>
    <definedName name="keiyakuid037">変更別紙!$G$49</definedName>
    <definedName name="keiyakuid038">変更別紙!$G$50</definedName>
    <definedName name="keiyakuid039">変更別紙!$G$51</definedName>
    <definedName name="keiyakuid040">変更別紙!$G$52</definedName>
    <definedName name="keiyakuid041">変更別紙!$G$53</definedName>
    <definedName name="keiyakuid042">変更別紙!$G$54</definedName>
    <definedName name="keiyakuid043">変更別紙!$G$55</definedName>
    <definedName name="keiyakuid044">変更別紙!$G$56</definedName>
    <definedName name="keiyakuid045">変更別紙!$G$57</definedName>
    <definedName name="keiyakuid046">変更別紙!$G$58</definedName>
    <definedName name="keiyakuid047">変更別紙!$G$59</definedName>
    <definedName name="keiyakuid048">変更別紙!$G$60</definedName>
    <definedName name="keiyakuid049">変更別紙!$G$61</definedName>
    <definedName name="keiyakuid050">変更別紙!$G$62</definedName>
    <definedName name="keiyakuid051">変更別紙!$G$63</definedName>
    <definedName name="keiyakuid052">変更別紙!$G$64</definedName>
    <definedName name="keiyakuid053">変更別紙!$G$65</definedName>
    <definedName name="keiyakuid054">変更別紙!$G$66</definedName>
    <definedName name="keiyakuid055">変更別紙!$G$67</definedName>
    <definedName name="keiyakuid056">変更別紙!$G$68</definedName>
    <definedName name="keiyakuid057">変更別紙!$G$69</definedName>
    <definedName name="keiyakuid058">変更別紙!$G$70</definedName>
    <definedName name="keiyakuid059">変更別紙!$G$71</definedName>
    <definedName name="keiyakuid060">変更別紙!$G$72</definedName>
    <definedName name="keiyakuid061">変更別紙!$G$73</definedName>
    <definedName name="keiyakuid062">変更別紙!$G$74</definedName>
    <definedName name="keiyakuid063">変更別紙!$G$75</definedName>
    <definedName name="keiyakuid064">変更別紙!$G$76</definedName>
    <definedName name="keiyakuid065">変更別紙!$G$77</definedName>
    <definedName name="keiyakuid066">変更別紙!$G$78</definedName>
    <definedName name="keiyakuid067">変更別紙!$G$79</definedName>
    <definedName name="keiyakuid068">変更別紙!$G$80</definedName>
    <definedName name="keiyakuid069">変更別紙!$G$81</definedName>
    <definedName name="keiyakuid070">変更別紙!$G$82</definedName>
    <definedName name="keiyakuid071">変更別紙!$G$83</definedName>
    <definedName name="keiyakuid072">変更別紙!$G$84</definedName>
    <definedName name="keiyakuid073">変更別紙!$G$85</definedName>
    <definedName name="keiyakuid074">変更別紙!$G$86</definedName>
    <definedName name="keiyakuid075">変更別紙!$G$87</definedName>
    <definedName name="keiyakuid076">変更別紙!$G$88</definedName>
    <definedName name="keiyakuid077">変更別紙!$G$89</definedName>
    <definedName name="keiyakuid078">変更別紙!$G$90</definedName>
    <definedName name="keiyakuid079">変更別紙!$G$91</definedName>
    <definedName name="keiyakuid080">変更別紙!$G$92</definedName>
    <definedName name="keiyakuid081">変更別紙!$G$93</definedName>
    <definedName name="keiyakuid082">変更別紙!$G$94</definedName>
    <definedName name="keiyakuid083">変更別紙!$G$95</definedName>
    <definedName name="keiyakuid084">変更別紙!$G$96</definedName>
    <definedName name="keiyakuid085">変更別紙!$G$97</definedName>
    <definedName name="keiyakuid086">変更別紙!$G$98</definedName>
    <definedName name="keiyakuid087">変更別紙!$G$99</definedName>
    <definedName name="keiyakuid088">変更別紙!$G$100</definedName>
    <definedName name="keiyakuid089">変更別紙!$G$101</definedName>
    <definedName name="keiyakuid090">変更別紙!$G$102</definedName>
    <definedName name="keiyakuid091">変更別紙!$G$103</definedName>
    <definedName name="keiyakuid092">変更別紙!$G$104</definedName>
    <definedName name="keiyakuid093">変更別紙!$G$105</definedName>
    <definedName name="keiyakuid094">変更別紙!$G$106</definedName>
    <definedName name="keiyakuid095">変更別紙!$G$107</definedName>
    <definedName name="keiyakuid096">変更別紙!$G$108</definedName>
    <definedName name="keiyakuid097">変更別紙!$G$109</definedName>
    <definedName name="keiyakuid098">変更別紙!$G$110</definedName>
    <definedName name="keiyakuid099">変更別紙!$G$111</definedName>
    <definedName name="keiyakuid100">変更別紙!$G$112</definedName>
    <definedName name="keiyakuid101">変更別紙!$G$113</definedName>
    <definedName name="keiyakuid102">変更別紙!$G$114</definedName>
    <definedName name="keiyakuid103">変更別紙!$G$115</definedName>
    <definedName name="keiyakuid104">変更別紙!$G$116</definedName>
    <definedName name="keiyakuid105">変更別紙!$G$117</definedName>
    <definedName name="keiyakuid106">変更別紙!$G$118</definedName>
    <definedName name="keiyakuid107">変更別紙!$G$119</definedName>
    <definedName name="keiyakuid108">変更別紙!$G$120</definedName>
    <definedName name="keiyakuid109">変更別紙!$G$121</definedName>
    <definedName name="keiyakuid110">変更別紙!$G$122</definedName>
    <definedName name="keiyakuid111">変更別紙!$G$123</definedName>
    <definedName name="keiyakuid112">変更別紙!$G$124</definedName>
    <definedName name="keiyakuid113">変更別紙!$G$125</definedName>
    <definedName name="keiyakuid114">変更別紙!$G$126</definedName>
    <definedName name="keiyakuid115">変更別紙!$G$127</definedName>
    <definedName name="keiyakuid116">変更別紙!$G$128</definedName>
    <definedName name="keiyakuid117">変更別紙!$G$129</definedName>
    <definedName name="keiyakuid118">変更別紙!$G$130</definedName>
    <definedName name="keiyakuid119">変更別紙!$G$131</definedName>
    <definedName name="keiyakuid120">変更別紙!$G$132</definedName>
    <definedName name="keiyakuid121">変更別紙!$G$133</definedName>
    <definedName name="keiyakuid122">変更別紙!$G$134</definedName>
    <definedName name="keiyakuid123">変更別紙!$G$135</definedName>
    <definedName name="keiyakuid124">変更別紙!$G$136</definedName>
    <definedName name="keiyakuid125">変更別紙!$G$137</definedName>
    <definedName name="keiyakuid126">変更別紙!$G$138</definedName>
    <definedName name="keiyakuid127">変更別紙!$G$139</definedName>
    <definedName name="keiyakuid128">変更別紙!$G$140</definedName>
    <definedName name="keiyakuid129">変更別紙!$G$141</definedName>
    <definedName name="keiyakuid130">変更別紙!$G$142</definedName>
    <definedName name="keiyakuid131">変更別紙!$G$143</definedName>
    <definedName name="keiyakuid132">変更別紙!$G$144</definedName>
    <definedName name="keiyakuid133">変更別紙!$G$145</definedName>
    <definedName name="keiyakuid134">変更別紙!$G$146</definedName>
    <definedName name="keiyakuid135">変更別紙!$G$147</definedName>
    <definedName name="keiyakuid136">変更別紙!$G$148</definedName>
    <definedName name="keiyakuid137">変更別紙!$G$149</definedName>
    <definedName name="keiyakuid138">変更別紙!$G$150</definedName>
    <definedName name="keiyakuid139">変更別紙!$G$151</definedName>
    <definedName name="keiyakuid140">変更別紙!$G$152</definedName>
    <definedName name="keiyakuid141">変更別紙!$G$153</definedName>
    <definedName name="keiyakuid142">変更別紙!$G$154</definedName>
    <definedName name="keiyakuid143">変更別紙!$G$155</definedName>
    <definedName name="keiyakuid144">変更別紙!$G$156</definedName>
    <definedName name="keiyakuid145">変更別紙!$G$157</definedName>
    <definedName name="keiyakuid146">変更別紙!$G$158</definedName>
    <definedName name="keiyakuid147">変更別紙!$G$159</definedName>
    <definedName name="keiyakuid148">変更別紙!$G$160</definedName>
    <definedName name="keiyakuid149">変更別紙!$G$161</definedName>
    <definedName name="keiyakuid150">変更別紙!$G$162</definedName>
    <definedName name="keiyakuid151">変更別紙!$G$163</definedName>
    <definedName name="keiyakuid152">変更別紙!$G$164</definedName>
    <definedName name="keiyakuid153">変更別紙!$G$165</definedName>
    <definedName name="keiyakuid154">変更別紙!$G$166</definedName>
    <definedName name="keiyakuid155">変更別紙!$G$167</definedName>
    <definedName name="keiyakuid156">変更別紙!$G$168</definedName>
    <definedName name="keiyakuid157">変更別紙!$G$169</definedName>
    <definedName name="keiyakuid158">変更別紙!$G$170</definedName>
    <definedName name="keiyakuid159">変更別紙!$G$171</definedName>
    <definedName name="keiyakuid160">変更別紙!$G$172</definedName>
    <definedName name="keiyakuid161">変更別紙!$G$173</definedName>
    <definedName name="keiyakuid162">変更別紙!$G$174</definedName>
    <definedName name="keiyakuid163">変更別紙!$G$175</definedName>
    <definedName name="keiyakuid164">変更別紙!$G$176</definedName>
    <definedName name="keiyakuid165">変更別紙!$G$177</definedName>
    <definedName name="keiyakuid166">変更別紙!$G$178</definedName>
    <definedName name="keiyakuid167">変更別紙!$G$179</definedName>
    <definedName name="keiyakuid168">変更別紙!$G$180</definedName>
    <definedName name="keiyakuid169">変更別紙!$G$181</definedName>
    <definedName name="keiyakuid170">変更別紙!$G$182</definedName>
    <definedName name="keiyakuid171">変更別紙!$G$183</definedName>
    <definedName name="keiyakuid172">変更別紙!$G$184</definedName>
    <definedName name="keiyakuid173">変更別紙!$G$185</definedName>
    <definedName name="keiyakuid174">変更別紙!$G$186</definedName>
    <definedName name="keiyakuid175">変更別紙!$G$187</definedName>
    <definedName name="keiyakuid176">変更別紙!$G$188</definedName>
    <definedName name="keiyakuid177">変更別紙!$G$189</definedName>
    <definedName name="keiyakuid178">変更別紙!$G$190</definedName>
    <definedName name="keiyakuid179">変更別紙!$G$191</definedName>
    <definedName name="keiyakuid180">変更別紙!$G$192</definedName>
    <definedName name="keiyakuid181">変更別紙!$G$193</definedName>
    <definedName name="keiyakuid182">変更別紙!$G$194</definedName>
    <definedName name="keiyakuid183">変更別紙!$G$195</definedName>
    <definedName name="keiyakuid184">変更別紙!$G$196</definedName>
    <definedName name="keiyakuid185">変更別紙!$G$197</definedName>
    <definedName name="keiyakuid186">変更別紙!$G$198</definedName>
    <definedName name="keiyakuid187">変更別紙!$G$199</definedName>
    <definedName name="keiyakuid188">変更別紙!$G$200</definedName>
    <definedName name="keiyakuid189">変更別紙!$G$201</definedName>
    <definedName name="keiyakuid190">変更別紙!$G$202</definedName>
    <definedName name="keiyakuid191">変更別紙!$G$203</definedName>
    <definedName name="keiyakuid192">変更別紙!$G$204</definedName>
    <definedName name="keiyakuid193">変更別紙!$G$205</definedName>
    <definedName name="keiyakuid194">変更別紙!$G$206</definedName>
    <definedName name="keiyakuid195">変更別紙!$G$207</definedName>
    <definedName name="keiyakuid196">変更別紙!$G$208</definedName>
    <definedName name="keiyakuid197">変更別紙!$G$209</definedName>
    <definedName name="keiyakuid198">変更別紙!$G$210</definedName>
    <definedName name="keiyakuid199">変更別紙!$G$211</definedName>
    <definedName name="keiyakuid200">変更別紙!$G$212</definedName>
    <definedName name="keiyakuid201">変更別紙!$G$213</definedName>
    <definedName name="keiyakuid202">変更別紙!$G$214</definedName>
    <definedName name="keiyakuid203">変更別紙!$G$215</definedName>
    <definedName name="keiyakuid204">変更別紙!$G$216</definedName>
    <definedName name="keiyakuid205">変更別紙!$G$217</definedName>
    <definedName name="keiyakuid206">変更別紙!$G$218</definedName>
    <definedName name="keiyakuid207">変更別紙!$G$219</definedName>
    <definedName name="keiyakuid208">変更別紙!$G$220</definedName>
    <definedName name="keiyakuid209">変更別紙!$G$221</definedName>
    <definedName name="keiyakuid210">変更別紙!$G$222</definedName>
    <definedName name="keiyakuid211">変更別紙!$G$223</definedName>
    <definedName name="keiyakuid212">変更別紙!$G$224</definedName>
    <definedName name="keiyakuid213">変更別紙!$G$225</definedName>
    <definedName name="keiyakuid214">変更別紙!$G$226</definedName>
    <definedName name="keiyakuid215">変更別紙!$G$227</definedName>
    <definedName name="keiyakuid216">変更別紙!$G$228</definedName>
    <definedName name="keiyakuid217">変更別紙!$G$229</definedName>
    <definedName name="keiyakuid218">変更別紙!$G$230</definedName>
    <definedName name="keiyakuid219">変更別紙!$G$231</definedName>
    <definedName name="keiyakuid220">変更別紙!$G$232</definedName>
    <definedName name="keiyakuid221">変更別紙!$G$233</definedName>
    <definedName name="keiyakuid222">変更別紙!$G$234</definedName>
    <definedName name="keiyakuid223">変更別紙!$G$235</definedName>
    <definedName name="keiyakuid224">変更別紙!$G$236</definedName>
    <definedName name="keiyakuid225">変更別紙!$G$237</definedName>
    <definedName name="keiyakuid226">変更別紙!$G$238</definedName>
    <definedName name="keiyakuid227">変更別紙!$G$239</definedName>
    <definedName name="keiyakuid228">変更別紙!$G$240</definedName>
    <definedName name="keiyakuid229">変更別紙!$G$241</definedName>
    <definedName name="keiyakuid230">変更別紙!$G$242</definedName>
    <definedName name="keiyakuid231">変更別紙!$G$243</definedName>
    <definedName name="keiyakuid232">変更別紙!$G$244</definedName>
    <definedName name="keiyakuid233">変更別紙!$G$245</definedName>
    <definedName name="keiyakuid234">変更別紙!$G$246</definedName>
    <definedName name="keiyakuid235">変更別紙!$G$247</definedName>
    <definedName name="keiyakuid236">変更別紙!$G$248</definedName>
    <definedName name="keiyakuid237">変更別紙!$G$249</definedName>
    <definedName name="keiyakuid238">変更別紙!$G$250</definedName>
    <definedName name="keiyakuid239">変更別紙!$G$251</definedName>
    <definedName name="keiyakuid240">変更別紙!$G$252</definedName>
    <definedName name="keiyakuid241">変更別紙!$G$253</definedName>
    <definedName name="keiyakuid242">変更別紙!$G$254</definedName>
    <definedName name="keiyakuid243">変更別紙!$G$255</definedName>
    <definedName name="keiyakuid244">変更別紙!$G$256</definedName>
    <definedName name="keiyakuid245">変更別紙!$G$257</definedName>
    <definedName name="keiyakuid246">変更別紙!$G$258</definedName>
    <definedName name="keiyakuid247">変更別紙!$G$259</definedName>
    <definedName name="keiyakuid248">変更別紙!$G$260</definedName>
    <definedName name="keiyakuid249">変更別紙!$G$261</definedName>
    <definedName name="keiyakuid250">変更別紙!$G$262</definedName>
    <definedName name="keiyakuid251">変更別紙!$G$263</definedName>
    <definedName name="keiyakuid252">変更別紙!$G$264</definedName>
    <definedName name="keiyakuid253">変更別紙!$G$265</definedName>
    <definedName name="keiyakuid254">変更別紙!$G$266</definedName>
    <definedName name="keiyakuid255">変更別紙!$G$267</definedName>
    <definedName name="keiyakuid256">変更別紙!$G$268</definedName>
    <definedName name="keiyakuid257">変更別紙!$G$269</definedName>
    <definedName name="keiyakuid258">変更別紙!$G$270</definedName>
    <definedName name="keiyakuid259">変更別紙!$G$271</definedName>
    <definedName name="keiyakuid260">変更別紙!$G$272</definedName>
    <definedName name="keiyakuid261">変更別紙!$G$273</definedName>
    <definedName name="keiyakuid262">変更別紙!$G$274</definedName>
    <definedName name="keiyakuid263">変更別紙!$G$275</definedName>
    <definedName name="keiyakuid264">変更別紙!$G$276</definedName>
    <definedName name="keiyakuid265">変更別紙!$G$277</definedName>
    <definedName name="keiyakuid266">変更別紙!$G$278</definedName>
    <definedName name="keiyakuid267">変更別紙!$G$279</definedName>
    <definedName name="keiyakuid268">変更別紙!$G$280</definedName>
    <definedName name="keiyakuid269">変更別紙!$G$281</definedName>
    <definedName name="keiyakuid270">変更別紙!$G$282</definedName>
    <definedName name="keiyakuid271">変更別紙!$G$283</definedName>
    <definedName name="keiyakuid272">変更別紙!$G$284</definedName>
    <definedName name="keiyakuid273">変更別紙!$G$285</definedName>
    <definedName name="keiyakuid274">変更別紙!$G$286</definedName>
    <definedName name="keiyakuid275">変更別紙!$G$287</definedName>
    <definedName name="keiyakuid276">変更別紙!$G$288</definedName>
    <definedName name="keiyakuid277">変更別紙!$G$289</definedName>
    <definedName name="keiyakuid278">変更別紙!$G$290</definedName>
    <definedName name="keiyakuid279">変更別紙!$G$291</definedName>
    <definedName name="keiyakuid280">変更別紙!$G$292</definedName>
    <definedName name="keiyakuid281">変更別紙!$G$293</definedName>
    <definedName name="keiyakuid282">変更別紙!$G$294</definedName>
    <definedName name="keiyakuid283">変更別紙!$G$295</definedName>
    <definedName name="keiyakuid284">変更別紙!$G$296</definedName>
    <definedName name="keiyakuid285">変更別紙!$G$297</definedName>
    <definedName name="keiyakuid286">変更別紙!$G$298</definedName>
    <definedName name="keiyakuid287">変更別紙!$G$299</definedName>
    <definedName name="keiyakuid288">変更別紙!$G$300</definedName>
    <definedName name="keiyakuid289">変更別紙!$G$301</definedName>
    <definedName name="keiyakuid290">変更別紙!$G$302</definedName>
    <definedName name="keiyakuid291">変更別紙!$G$303</definedName>
    <definedName name="keiyakuid292">変更別紙!$G$304</definedName>
    <definedName name="keiyakuid293">変更別紙!$G$305</definedName>
    <definedName name="keiyakuid294">変更別紙!$G$306</definedName>
    <definedName name="keiyakuid295">変更別紙!$G$307</definedName>
    <definedName name="keiyakuid296">変更別紙!$G$308</definedName>
    <definedName name="keiyakuid297">変更別紙!$G$309</definedName>
    <definedName name="keiyakuid298">変更別紙!$G$310</definedName>
    <definedName name="keiyakuid299">変更別紙!$G$311</definedName>
    <definedName name="keiyakuid300">変更別紙!$G$312</definedName>
    <definedName name="keiyakuid301">変更別紙!$G$313</definedName>
    <definedName name="keiyakuid302">変更別紙!$G$314</definedName>
    <definedName name="keiyakuid303">変更別紙!$G$315</definedName>
    <definedName name="keiyakuid304">変更別紙!$G$316</definedName>
    <definedName name="keiyakuid305">変更別紙!$G$317</definedName>
    <definedName name="keiyakuid306">変更別紙!$G$318</definedName>
    <definedName name="keiyakuid307">変更別紙!$G$319</definedName>
    <definedName name="keiyakuid308">変更別紙!$G$320</definedName>
    <definedName name="keiyakuid309">変更別紙!$G$321</definedName>
    <definedName name="keiyakuid310">変更別紙!$G$322</definedName>
    <definedName name="keiyakuid311">変更別紙!$G$323</definedName>
    <definedName name="keiyakuid312">変更別紙!$G$324</definedName>
    <definedName name="keiyakuid313">変更別紙!$G$325</definedName>
    <definedName name="keiyakuid314">変更別紙!$G$326</definedName>
    <definedName name="keiyakuid315">変更別紙!$G$327</definedName>
    <definedName name="keiyakuid316">変更別紙!$G$328</definedName>
    <definedName name="keiyakuid317">変更別紙!$G$329</definedName>
    <definedName name="keiyakuid318">変更別紙!$G$330</definedName>
    <definedName name="keiyakuid319">変更別紙!$G$331</definedName>
    <definedName name="keiyakuid320">変更別紙!$G$332</definedName>
    <definedName name="keiyakuid321">変更別紙!$G$333</definedName>
    <definedName name="keiyakuid322">変更別紙!$G$334</definedName>
    <definedName name="keiyakuid323">変更別紙!$G$335</definedName>
    <definedName name="keiyakuid324">変更別紙!$G$336</definedName>
    <definedName name="keiyakuid325">変更別紙!$G$337</definedName>
    <definedName name="keiyakuid326">変更別紙!$G$338</definedName>
    <definedName name="keiyakuid327">変更別紙!$G$339</definedName>
    <definedName name="keiyakuid328">変更別紙!$G$340</definedName>
    <definedName name="keiyakuid329">変更別紙!$G$341</definedName>
    <definedName name="keiyakuid330">変更別紙!$G$342</definedName>
    <definedName name="keiyakuid331">変更別紙!$G$343</definedName>
    <definedName name="keiyakuid332">変更別紙!$G$344</definedName>
    <definedName name="keiyakuid333">変更別紙!$G$345</definedName>
    <definedName name="keiyakuid334">変更別紙!$G$346</definedName>
    <definedName name="keiyakuid335">変更別紙!$G$347</definedName>
    <definedName name="keiyakuid336">変更別紙!$G$348</definedName>
    <definedName name="keiyakuid337">変更別紙!$G$349</definedName>
    <definedName name="keiyakuid338">変更別紙!$G$350</definedName>
    <definedName name="keiyakuid339">変更別紙!$G$351</definedName>
    <definedName name="keiyakuid340">変更別紙!$G$352</definedName>
    <definedName name="keiyakuid341">変更別紙!$G$353</definedName>
    <definedName name="keiyakuid342">変更別紙!$G$354</definedName>
    <definedName name="keiyakuid343">変更別紙!$G$355</definedName>
    <definedName name="keiyakuid344">変更別紙!$G$356</definedName>
    <definedName name="keiyakuid345">変更別紙!$G$357</definedName>
    <definedName name="keiyakuid346">変更別紙!$G$358</definedName>
    <definedName name="keiyakuid347">変更別紙!$G$359</definedName>
    <definedName name="keiyakuid348">変更別紙!$G$360</definedName>
    <definedName name="keiyakuid349">変更別紙!$G$361</definedName>
    <definedName name="keiyakuid350">変更別紙!$G$362</definedName>
    <definedName name="keiyakuid351">変更別紙!$G$363</definedName>
    <definedName name="keiyakuid352">変更別紙!$G$364</definedName>
    <definedName name="keiyakuid353">変更別紙!$G$365</definedName>
    <definedName name="keiyakuid354">変更別紙!$G$366</definedName>
    <definedName name="keiyakuid355">変更別紙!$G$367</definedName>
    <definedName name="keiyakuid356">変更別紙!$G$368</definedName>
    <definedName name="keiyakuid357">変更別紙!$G$369</definedName>
    <definedName name="keiyakuid358">変更別紙!$G$370</definedName>
    <definedName name="keiyakuid359">変更別紙!$G$371</definedName>
    <definedName name="keiyakuid360">変更別紙!$G$372</definedName>
    <definedName name="keiyakuid361">変更別紙!$G$373</definedName>
    <definedName name="keiyakuid362">変更別紙!$G$374</definedName>
    <definedName name="keiyakuid363">変更別紙!$G$375</definedName>
    <definedName name="keiyakuid364">変更別紙!$G$376</definedName>
    <definedName name="keiyakuid365">変更別紙!$G$377</definedName>
    <definedName name="keiyakuid366">変更別紙!$G$378</definedName>
    <definedName name="keiyakuid367">変更別紙!$G$379</definedName>
    <definedName name="keiyakuid368">変更別紙!$G$380</definedName>
    <definedName name="keiyakuid369">変更別紙!$G$381</definedName>
    <definedName name="keiyakuid370">変更別紙!$G$382</definedName>
    <definedName name="keiyakuid371">変更別紙!$G$383</definedName>
    <definedName name="keiyakuid372">変更別紙!$G$384</definedName>
    <definedName name="keiyakuid373">変更別紙!$G$385</definedName>
    <definedName name="keiyakuid374">変更別紙!$G$386</definedName>
    <definedName name="keiyakuid375">変更別紙!$G$387</definedName>
    <definedName name="keiyakuid376">変更別紙!$G$388</definedName>
    <definedName name="keiyakuid377">変更別紙!$G$389</definedName>
    <definedName name="keiyakuid378">変更別紙!$G$390</definedName>
    <definedName name="keiyakuid379">変更別紙!$G$391</definedName>
    <definedName name="keiyakuid380">変更別紙!$G$392</definedName>
    <definedName name="keiyakuid381">変更別紙!$G$393</definedName>
    <definedName name="keiyakuid382">変更別紙!$G$394</definedName>
    <definedName name="keiyakuid383">変更別紙!$G$395</definedName>
    <definedName name="keiyakuid384">変更別紙!$G$396</definedName>
    <definedName name="keiyakuid385">変更別紙!$G$397</definedName>
    <definedName name="keiyakuid386">変更別紙!$G$398</definedName>
    <definedName name="keiyakuid387">変更別紙!$G$399</definedName>
    <definedName name="keiyakuid388">変更別紙!$G$400</definedName>
    <definedName name="keiyakuid389">変更別紙!$G$401</definedName>
    <definedName name="keiyakuid390">変更別紙!$G$402</definedName>
    <definedName name="keiyakuid391">変更別紙!$G$403</definedName>
    <definedName name="keiyakuid392">変更別紙!$G$404</definedName>
    <definedName name="keiyakuid393">変更別紙!$G$405</definedName>
    <definedName name="keiyakuid394">変更別紙!$G$406</definedName>
    <definedName name="keiyakuid395">変更別紙!$G$407</definedName>
    <definedName name="keiyakuid396">変更別紙!$G$408</definedName>
    <definedName name="keiyakuid397">変更別紙!$G$409</definedName>
    <definedName name="keiyakuid398">変更別紙!$G$410</definedName>
    <definedName name="keiyakuid399">変更別紙!$G$411</definedName>
    <definedName name="keiyakuid400">変更別紙!$G$412</definedName>
    <definedName name="keiyakuid401">変更別紙!$G$413</definedName>
    <definedName name="keiyakuid402">変更別紙!$G$414</definedName>
    <definedName name="keiyakuid403">変更別紙!$G$415</definedName>
    <definedName name="keiyakuid404">変更別紙!$G$416</definedName>
    <definedName name="keiyakuid405">変更別紙!$G$417</definedName>
    <definedName name="keiyakuid406">変更別紙!$G$418</definedName>
    <definedName name="keiyakuid407">変更別紙!$G$419</definedName>
    <definedName name="keiyakuid408">変更別紙!$G$420</definedName>
    <definedName name="keiyakuid409">変更別紙!$G$421</definedName>
    <definedName name="keiyakuid410">変更別紙!$G$422</definedName>
    <definedName name="keiyakuid411">変更別紙!$G$423</definedName>
    <definedName name="keiyakuid412">変更別紙!$G$424</definedName>
    <definedName name="keiyakuid413">変更別紙!$G$425</definedName>
    <definedName name="keiyakuid414">変更別紙!$G$426</definedName>
    <definedName name="keiyakuid415">変更別紙!$G$427</definedName>
    <definedName name="keiyakuid416">変更別紙!$G$428</definedName>
    <definedName name="keiyakuid417">変更別紙!$G$429</definedName>
    <definedName name="keiyakuid418">変更別紙!$G$430</definedName>
    <definedName name="keiyakuid419">変更別紙!$G$431</definedName>
    <definedName name="keiyakuid420">変更別紙!$G$432</definedName>
    <definedName name="keiyakuid421">変更別紙!$G$433</definedName>
    <definedName name="keiyakuid422">変更別紙!$G$434</definedName>
    <definedName name="keiyakuid423">変更別紙!$G$435</definedName>
    <definedName name="keiyakuid424">変更別紙!$G$436</definedName>
    <definedName name="keiyakuid425">変更別紙!$G$437</definedName>
    <definedName name="keiyakuid426">変更別紙!$G$438</definedName>
    <definedName name="keiyakuid427">変更別紙!$G$439</definedName>
    <definedName name="keiyakuid428">変更別紙!$G$440</definedName>
    <definedName name="keiyakuid429">変更別紙!$G$441</definedName>
    <definedName name="keiyakuid430">変更別紙!$G$442</definedName>
    <definedName name="keiyakuid431">変更別紙!$G$443</definedName>
    <definedName name="keiyakuid432">変更別紙!$G$444</definedName>
    <definedName name="keiyakuid433">変更別紙!$G$445</definedName>
    <definedName name="keiyakuid434">変更別紙!$G$446</definedName>
    <definedName name="keiyakuid435">変更別紙!$G$447</definedName>
    <definedName name="keiyakuid436">変更別紙!$G$448</definedName>
    <definedName name="keiyakuid437">変更別紙!$G$449</definedName>
    <definedName name="keiyakuid438">変更別紙!$G$450</definedName>
    <definedName name="keiyakuid439">変更別紙!$G$451</definedName>
    <definedName name="keiyakuid440">変更別紙!$G$452</definedName>
    <definedName name="keiyakuid441">変更別紙!$G$453</definedName>
    <definedName name="keiyakuid442">変更別紙!$G$454</definedName>
    <definedName name="keiyakuid443">変更別紙!$G$455</definedName>
    <definedName name="keiyakuid444">変更別紙!$G$456</definedName>
    <definedName name="keiyakuid445">変更別紙!$G$457</definedName>
    <definedName name="keiyakuid446">変更別紙!$G$458</definedName>
    <definedName name="keiyakuid447">変更別紙!$G$459</definedName>
    <definedName name="keiyakuid448">変更別紙!$G$460</definedName>
    <definedName name="keiyakuid449">変更別紙!$G$461</definedName>
    <definedName name="keiyakuid450">変更別紙!$G$462</definedName>
    <definedName name="keiyakuid451">変更別紙!$G$463</definedName>
    <definedName name="keiyakuid452">変更別紙!$G$464</definedName>
    <definedName name="keiyakuid453">変更別紙!$G$465</definedName>
    <definedName name="keiyakuid454">変更別紙!$G$466</definedName>
    <definedName name="keiyakuid455">変更別紙!$G$467</definedName>
    <definedName name="keiyakuid456">変更別紙!$G$468</definedName>
    <definedName name="keiyakuid457">変更別紙!$G$469</definedName>
    <definedName name="keiyakuid458">変更別紙!$G$470</definedName>
    <definedName name="keiyakuid459">変更別紙!$G$471</definedName>
    <definedName name="keiyakuid460">変更別紙!$G$472</definedName>
    <definedName name="keiyakuid461">変更別紙!$G$473</definedName>
    <definedName name="keiyakuid462">変更別紙!$G$474</definedName>
    <definedName name="keiyakuid463">変更別紙!$G$475</definedName>
    <definedName name="keiyakuid464">変更別紙!$G$476</definedName>
    <definedName name="keiyakuid465">変更別紙!$G$477</definedName>
    <definedName name="keiyakuid466">変更別紙!$G$478</definedName>
    <definedName name="keiyakuid467">変更別紙!$G$479</definedName>
    <definedName name="keiyakuid468">変更別紙!$G$480</definedName>
    <definedName name="keiyakuid469">変更別紙!$G$481</definedName>
    <definedName name="keiyakuid470">変更別紙!$G$482</definedName>
    <definedName name="keiyakuid471">変更別紙!$G$483</definedName>
    <definedName name="keiyakuid472">変更別紙!$G$484</definedName>
    <definedName name="keiyakuid473">変更別紙!$G$485</definedName>
    <definedName name="keiyakuid474">変更別紙!$G$486</definedName>
    <definedName name="keiyakuid475">変更別紙!$G$487</definedName>
    <definedName name="keiyakuid476">変更別紙!$G$488</definedName>
    <definedName name="keiyakuid477">変更別紙!$G$489</definedName>
    <definedName name="keiyakuid478">変更別紙!$G$490</definedName>
    <definedName name="keiyakuid479">変更別紙!$G$491</definedName>
    <definedName name="keiyakuid480">変更別紙!$G$492</definedName>
    <definedName name="keiyakuid481">変更別紙!$G$493</definedName>
    <definedName name="keiyakuid482">変更別紙!$G$494</definedName>
    <definedName name="keiyakuid483">変更別紙!$G$495</definedName>
    <definedName name="keiyakuid484">変更別紙!$G$496</definedName>
    <definedName name="keiyakuid485">変更別紙!$G$497</definedName>
    <definedName name="keiyakuid486">変更別紙!$G$498</definedName>
    <definedName name="keiyakuid487">変更別紙!$G$499</definedName>
    <definedName name="keiyakuid488">変更別紙!$G$500</definedName>
    <definedName name="keiyakuid489">変更別紙!$G$501</definedName>
    <definedName name="keiyakuid490">変更別紙!$G$502</definedName>
    <definedName name="keiyakuid491">変更別紙!$G$503</definedName>
    <definedName name="keiyakuid492">変更別紙!$G$504</definedName>
    <definedName name="keiyakuid493">変更別紙!$G$505</definedName>
    <definedName name="keiyakuid494">変更別紙!$G$506</definedName>
    <definedName name="keiyakuid495">変更別紙!$G$507</definedName>
    <definedName name="keiyakuid496">変更別紙!$G$508</definedName>
    <definedName name="keiyakuid497">変更別紙!$G$509</definedName>
    <definedName name="keiyakuid498">変更別紙!$G$510</definedName>
    <definedName name="keiyakuid499">変更別紙!$G$511</definedName>
    <definedName name="keiyakuid500">変更別紙!$G$512</definedName>
    <definedName name="meigiHenkou">変更お申込書!$AD$13</definedName>
    <definedName name="moushikubun001">変更別紙!$C$13</definedName>
    <definedName name="moushikubun002">変更別紙!$C$14</definedName>
    <definedName name="moushikubun003">変更別紙!$C$15</definedName>
    <definedName name="moushikubun004">変更別紙!$C$16</definedName>
    <definedName name="moushikubun005">変更別紙!$C$17</definedName>
    <definedName name="moushikubun006">変更別紙!$C$18</definedName>
    <definedName name="moushikubun007">変更別紙!$C$19</definedName>
    <definedName name="moushikubun008">変更別紙!$C$20</definedName>
    <definedName name="moushikubun009">変更別紙!$C$21</definedName>
    <definedName name="moushikubun010">変更別紙!$C$22</definedName>
    <definedName name="moushikubun011">変更別紙!$C$23</definedName>
    <definedName name="moushikubun012">変更別紙!$C$24</definedName>
    <definedName name="moushikubun013">変更別紙!$C$25</definedName>
    <definedName name="moushikubun014">変更別紙!$C$26</definedName>
    <definedName name="moushikubun015">変更別紙!$C$27</definedName>
    <definedName name="moushikubun016">変更別紙!$C$28</definedName>
    <definedName name="moushikubun017">変更別紙!$C$29</definedName>
    <definedName name="moushikubun018">変更別紙!$C$30</definedName>
    <definedName name="moushikubun019">変更別紙!$C$31</definedName>
    <definedName name="moushikubun020">変更別紙!$C$32</definedName>
    <definedName name="moushikubun021">変更別紙!$C$33</definedName>
    <definedName name="moushikubun022">変更別紙!$C$34</definedName>
    <definedName name="moushikubun023">変更別紙!$C$35</definedName>
    <definedName name="moushikubun024">変更別紙!$C$36</definedName>
    <definedName name="moushikubun025">変更別紙!$C$37</definedName>
    <definedName name="moushikubun026">変更別紙!$C$38</definedName>
    <definedName name="moushikubun027">変更別紙!$C$39</definedName>
    <definedName name="moushikubun028">変更別紙!$C$40</definedName>
    <definedName name="moushikubun029">変更別紙!$C$41</definedName>
    <definedName name="moushikubun030">変更別紙!$C$42</definedName>
    <definedName name="moushikubun031">変更別紙!$C$43</definedName>
    <definedName name="moushikubun032">変更別紙!$C$44</definedName>
    <definedName name="moushikubun033">変更別紙!$C$45</definedName>
    <definedName name="moushikubun034">変更別紙!$C$46</definedName>
    <definedName name="moushikubun035">変更別紙!$C$47</definedName>
    <definedName name="moushikubun036">変更別紙!$C$48</definedName>
    <definedName name="moushikubun037">変更別紙!$C$49</definedName>
    <definedName name="moushikubun038">変更別紙!$C$50</definedName>
    <definedName name="moushikubun039">変更別紙!$C$51</definedName>
    <definedName name="moushikubun040">変更別紙!$C$52</definedName>
    <definedName name="moushikubun041">変更別紙!$C$53</definedName>
    <definedName name="moushikubun042">変更別紙!$C$54</definedName>
    <definedName name="moushikubun043">変更別紙!$C$55</definedName>
    <definedName name="moushikubun044">変更別紙!$C$56</definedName>
    <definedName name="moushikubun045">変更別紙!$C$57</definedName>
    <definedName name="moushikubun046">変更別紙!$C$58</definedName>
    <definedName name="moushikubun047">変更別紙!$C$59</definedName>
    <definedName name="moushikubun048">変更別紙!$C$60</definedName>
    <definedName name="moushikubun049">変更別紙!$C$61</definedName>
    <definedName name="moushikubun050">変更別紙!$C$62</definedName>
    <definedName name="moushikubun051">変更別紙!$C$63</definedName>
    <definedName name="moushikubun052">変更別紙!$C$64</definedName>
    <definedName name="moushikubun053">変更別紙!$C$65</definedName>
    <definedName name="moushikubun054">変更別紙!$C$66</definedName>
    <definedName name="moushikubun055">変更別紙!$C$67</definedName>
    <definedName name="moushikubun056">変更別紙!$C$68</definedName>
    <definedName name="moushikubun057">変更別紙!$C$69</definedName>
    <definedName name="moushikubun058">変更別紙!$C$70</definedName>
    <definedName name="moushikubun059">変更別紙!$C$71</definedName>
    <definedName name="moushikubun060">変更別紙!$C$72</definedName>
    <definedName name="moushikubun061">変更別紙!$C$73</definedName>
    <definedName name="moushikubun062">変更別紙!$C$74</definedName>
    <definedName name="moushikubun063">変更別紙!$C$75</definedName>
    <definedName name="moushikubun064">変更別紙!$C$76</definedName>
    <definedName name="moushikubun065">変更別紙!$C$77</definedName>
    <definedName name="moushikubun066">変更別紙!$C$78</definedName>
    <definedName name="moushikubun067">変更別紙!$C$79</definedName>
    <definedName name="moushikubun068">変更別紙!$C$80</definedName>
    <definedName name="moushikubun069">変更別紙!$C$81</definedName>
    <definedName name="moushikubun070">変更別紙!$C$82</definedName>
    <definedName name="moushikubun071">変更別紙!$C$83</definedName>
    <definedName name="moushikubun072">変更別紙!$C$84</definedName>
    <definedName name="moushikubun073">変更別紙!$C$85</definedName>
    <definedName name="moushikubun074">変更別紙!$C$86</definedName>
    <definedName name="moushikubun075">変更別紙!$C$87</definedName>
    <definedName name="moushikubun076">変更別紙!$C$88</definedName>
    <definedName name="moushikubun077">変更別紙!$C$89</definedName>
    <definedName name="moushikubun078">変更別紙!$C$90</definedName>
    <definedName name="moushikubun079">変更別紙!$C$91</definedName>
    <definedName name="moushikubun080">変更別紙!$C$92</definedName>
    <definedName name="moushikubun081">変更別紙!$C$93</definedName>
    <definedName name="moushikubun082">変更別紙!$C$94</definedName>
    <definedName name="moushikubun083">変更別紙!$C$95</definedName>
    <definedName name="moushikubun084">変更別紙!$C$96</definedName>
    <definedName name="moushikubun085">変更別紙!$C$97</definedName>
    <definedName name="moushikubun086">変更別紙!$C$98</definedName>
    <definedName name="moushikubun087">変更別紙!$C$99</definedName>
    <definedName name="moushikubun088">変更別紙!$C$100</definedName>
    <definedName name="moushikubun089">変更別紙!$C$101</definedName>
    <definedName name="moushikubun090">変更別紙!$C$102</definedName>
    <definedName name="moushikubun091">変更別紙!$C$103</definedName>
    <definedName name="moushikubun092">変更別紙!$C$104</definedName>
    <definedName name="moushikubun093">変更別紙!$C$105</definedName>
    <definedName name="moushikubun094">変更別紙!$C$106</definedName>
    <definedName name="moushikubun095">変更別紙!$C$107</definedName>
    <definedName name="moushikubun096">変更別紙!$C$108</definedName>
    <definedName name="moushikubun097">変更別紙!$C$109</definedName>
    <definedName name="moushikubun098">変更別紙!$C$110</definedName>
    <definedName name="moushikubun099">変更別紙!$C$111</definedName>
    <definedName name="moushikubun100">変更別紙!$C$112</definedName>
    <definedName name="moushikubun101">変更別紙!$C$113</definedName>
    <definedName name="moushikubun102">変更別紙!$C$114</definedName>
    <definedName name="moushikubun103">変更別紙!$C$115</definedName>
    <definedName name="moushikubun104">変更別紙!$C$116</definedName>
    <definedName name="moushikubun105">変更別紙!$C$117</definedName>
    <definedName name="moushikubun106">変更別紙!$C$118</definedName>
    <definedName name="moushikubun107">変更別紙!$C$119</definedName>
    <definedName name="moushikubun108">変更別紙!$C$120</definedName>
    <definedName name="moushikubun109">変更別紙!$C$121</definedName>
    <definedName name="moushikubun110">変更別紙!$C$122</definedName>
    <definedName name="moushikubun111">変更別紙!$C$123</definedName>
    <definedName name="moushikubun112">変更別紙!$C$124</definedName>
    <definedName name="moushikubun113">変更別紙!$C$125</definedName>
    <definedName name="moushikubun114">変更別紙!$C$126</definedName>
    <definedName name="moushikubun115">変更別紙!$C$127</definedName>
    <definedName name="moushikubun116">変更別紙!$C$128</definedName>
    <definedName name="moushikubun117">変更別紙!$C$129</definedName>
    <definedName name="moushikubun118">変更別紙!$C$130</definedName>
    <definedName name="moushikubun119">変更別紙!$C$131</definedName>
    <definedName name="moushikubun120">変更別紙!$C$132</definedName>
    <definedName name="moushikubun121">変更別紙!$C$133</definedName>
    <definedName name="moushikubun122">変更別紙!$C$134</definedName>
    <definedName name="moushikubun123">変更別紙!$C$135</definedName>
    <definedName name="moushikubun124">変更別紙!$C$136</definedName>
    <definedName name="moushikubun125">変更別紙!$C$137</definedName>
    <definedName name="moushikubun126">変更別紙!$C$138</definedName>
    <definedName name="moushikubun127">変更別紙!$C$139</definedName>
    <definedName name="moushikubun128">変更別紙!$C$140</definedName>
    <definedName name="moushikubun129">変更別紙!$C$141</definedName>
    <definedName name="moushikubun130">変更別紙!$C$142</definedName>
    <definedName name="moushikubun131">変更別紙!$C$143</definedName>
    <definedName name="moushikubun132">変更別紙!$C$144</definedName>
    <definedName name="moushikubun133">変更別紙!$C$145</definedName>
    <definedName name="moushikubun134">変更別紙!$C$146</definedName>
    <definedName name="moushikubun135">変更別紙!$C$147</definedName>
    <definedName name="moushikubun136">変更別紙!$C$148</definedName>
    <definedName name="moushikubun137">変更別紙!$C$149</definedName>
    <definedName name="moushikubun138">変更別紙!$C$150</definedName>
    <definedName name="moushikubun139">変更別紙!$C$151</definedName>
    <definedName name="moushikubun140">変更別紙!$C$152</definedName>
    <definedName name="moushikubun141">変更別紙!$C$153</definedName>
    <definedName name="moushikubun142">変更別紙!$C$154</definedName>
    <definedName name="moushikubun143">変更別紙!$C$155</definedName>
    <definedName name="moushikubun144">変更別紙!$C$156</definedName>
    <definedName name="moushikubun145">変更別紙!$C$157</definedName>
    <definedName name="moushikubun146">変更別紙!$C$158</definedName>
    <definedName name="moushikubun147">変更別紙!$C$159</definedName>
    <definedName name="moushikubun148">変更別紙!$C$160</definedName>
    <definedName name="moushikubun149">変更別紙!$C$161</definedName>
    <definedName name="moushikubun150">変更別紙!$C$162</definedName>
    <definedName name="moushikubun151">変更別紙!$C$163</definedName>
    <definedName name="moushikubun152">変更別紙!$C$164</definedName>
    <definedName name="moushikubun153">変更別紙!$C$165</definedName>
    <definedName name="moushikubun154">変更別紙!$C$166</definedName>
    <definedName name="moushikubun155">変更別紙!$C$167</definedName>
    <definedName name="moushikubun156">変更別紙!$C$168</definedName>
    <definedName name="moushikubun157">変更別紙!$C$169</definedName>
    <definedName name="moushikubun158">変更別紙!$C$170</definedName>
    <definedName name="moushikubun159">変更別紙!$C$171</definedName>
    <definedName name="moushikubun160">変更別紙!$C$172</definedName>
    <definedName name="moushikubun161">変更別紙!$C$173</definedName>
    <definedName name="moushikubun162">変更別紙!$C$174</definedName>
    <definedName name="moushikubun163">変更別紙!$C$175</definedName>
    <definedName name="moushikubun164">変更別紙!$C$176</definedName>
    <definedName name="moushikubun165">変更別紙!$C$177</definedName>
    <definedName name="moushikubun166">変更別紙!$C$178</definedName>
    <definedName name="moushikubun167">変更別紙!$C$179</definedName>
    <definedName name="moushikubun168">変更別紙!$C$180</definedName>
    <definedName name="moushikubun169">変更別紙!$C$181</definedName>
    <definedName name="moushikubun170">変更別紙!$C$182</definedName>
    <definedName name="moushikubun171">変更別紙!$C$183</definedName>
    <definedName name="moushikubun172">変更別紙!$C$184</definedName>
    <definedName name="moushikubun173">変更別紙!$C$185</definedName>
    <definedName name="moushikubun174">変更別紙!$C$186</definedName>
    <definedName name="moushikubun175">変更別紙!$C$187</definedName>
    <definedName name="moushikubun176">変更別紙!$C$188</definedName>
    <definedName name="moushikubun177">変更別紙!$C$189</definedName>
    <definedName name="moushikubun178">変更別紙!$C$190</definedName>
    <definedName name="moushikubun179">変更別紙!$C$191</definedName>
    <definedName name="moushikubun180">変更別紙!$C$192</definedName>
    <definedName name="moushikubun181">変更別紙!$C$193</definedName>
    <definedName name="moushikubun182">変更別紙!$C$194</definedName>
    <definedName name="moushikubun183">変更別紙!$C$195</definedName>
    <definedName name="moushikubun184">変更別紙!$C$196</definedName>
    <definedName name="moushikubun185">変更別紙!$C$197</definedName>
    <definedName name="moushikubun186">変更別紙!$C$198</definedName>
    <definedName name="moushikubun187">変更別紙!$C$199</definedName>
    <definedName name="moushikubun188">変更別紙!$C$200</definedName>
    <definedName name="moushikubun189">変更別紙!$C$201</definedName>
    <definedName name="moushikubun190">変更別紙!$C$202</definedName>
    <definedName name="moushikubun191">変更別紙!$C$203</definedName>
    <definedName name="moushikubun192">変更別紙!$C$204</definedName>
    <definedName name="moushikubun193">変更別紙!$C$205</definedName>
    <definedName name="moushikubun194">変更別紙!$C$206</definedName>
    <definedName name="moushikubun195">変更別紙!$C$207</definedName>
    <definedName name="moushikubun196">変更別紙!$C$208</definedName>
    <definedName name="moushikubun197">変更別紙!$C$209</definedName>
    <definedName name="moushikubun198">変更別紙!$C$210</definedName>
    <definedName name="moushikubun199">変更別紙!$C$211</definedName>
    <definedName name="moushikubun200">変更別紙!$C$212</definedName>
    <definedName name="moushikubun201">変更別紙!$C$213</definedName>
    <definedName name="moushikubun202">変更別紙!$C$214</definedName>
    <definedName name="moushikubun203">変更別紙!$C$215</definedName>
    <definedName name="moushikubun204">変更別紙!$C$216</definedName>
    <definedName name="moushikubun205">変更別紙!$C$217</definedName>
    <definedName name="moushikubun206">変更別紙!$C$218</definedName>
    <definedName name="moushikubun207">変更別紙!$C$219</definedName>
    <definedName name="moushikubun208">変更別紙!$C$220</definedName>
    <definedName name="moushikubun209">変更別紙!$C$221</definedName>
    <definedName name="moushikubun210">変更別紙!$C$222</definedName>
    <definedName name="moushikubun211">変更別紙!$C$223</definedName>
    <definedName name="moushikubun212">変更別紙!$C$224</definedName>
    <definedName name="moushikubun213">変更別紙!$C$225</definedName>
    <definedName name="moushikubun214">変更別紙!$C$226</definedName>
    <definedName name="moushikubun215">変更別紙!$C$227</definedName>
    <definedName name="moushikubun216">変更別紙!$C$228</definedName>
    <definedName name="moushikubun217">変更別紙!$C$229</definedName>
    <definedName name="moushikubun218">変更別紙!$C$230</definedName>
    <definedName name="moushikubun219">変更別紙!$C$231</definedName>
    <definedName name="moushikubun220">変更別紙!$C$232</definedName>
    <definedName name="moushikubun221">変更別紙!$C$233</definedName>
    <definedName name="moushikubun222">変更別紙!$C$234</definedName>
    <definedName name="moushikubun223">変更別紙!$C$235</definedName>
    <definedName name="moushikubun224">変更別紙!$C$236</definedName>
    <definedName name="moushikubun225">変更別紙!$C$237</definedName>
    <definedName name="moushikubun226">変更別紙!$C$238</definedName>
    <definedName name="moushikubun227">変更別紙!$C$239</definedName>
    <definedName name="moushikubun228">変更別紙!$C$240</definedName>
    <definedName name="moushikubun229">変更別紙!$C$241</definedName>
    <definedName name="moushikubun230">変更別紙!$C$242</definedName>
    <definedName name="moushikubun231">変更別紙!$C$243</definedName>
    <definedName name="moushikubun232">変更別紙!$C$244</definedName>
    <definedName name="moushikubun233">変更別紙!$C$245</definedName>
    <definedName name="moushikubun234">変更別紙!$C$246</definedName>
    <definedName name="moushikubun235">変更別紙!$C$247</definedName>
    <definedName name="moushikubun236">変更別紙!$C$248</definedName>
    <definedName name="moushikubun237">変更別紙!$C$249</definedName>
    <definedName name="moushikubun238">変更別紙!$C$250</definedName>
    <definedName name="moushikubun239">変更別紙!$C$251</definedName>
    <definedName name="moushikubun240">変更別紙!$C$252</definedName>
    <definedName name="moushikubun241">変更別紙!$C$253</definedName>
    <definedName name="moushikubun242">変更別紙!$C$254</definedName>
    <definedName name="moushikubun243">変更別紙!$C$255</definedName>
    <definedName name="moushikubun244">変更別紙!$C$256</definedName>
    <definedName name="moushikubun245">変更別紙!$C$257</definedName>
    <definedName name="moushikubun246">変更別紙!$C$258</definedName>
    <definedName name="moushikubun247">変更別紙!$C$259</definedName>
    <definedName name="moushikubun248">変更別紙!$C$260</definedName>
    <definedName name="moushikubun249">変更別紙!$C$261</definedName>
    <definedName name="moushikubun250">変更別紙!$C$262</definedName>
    <definedName name="moushikubun251">変更別紙!$C$263</definedName>
    <definedName name="moushikubun252">変更別紙!$C$264</definedName>
    <definedName name="moushikubun253">変更別紙!$C$265</definedName>
    <definedName name="moushikubun254">変更別紙!$C$266</definedName>
    <definedName name="moushikubun255">変更別紙!$C$267</definedName>
    <definedName name="moushikubun256">変更別紙!$C$268</definedName>
    <definedName name="moushikubun257">変更別紙!$C$269</definedName>
    <definedName name="moushikubun258">変更別紙!$C$270</definedName>
    <definedName name="moushikubun259">変更別紙!$C$271</definedName>
    <definedName name="moushikubun260">変更別紙!$C$272</definedName>
    <definedName name="moushikubun261">変更別紙!$C$273</definedName>
    <definedName name="moushikubun262">変更別紙!$C$274</definedName>
    <definedName name="moushikubun263">変更別紙!$C$275</definedName>
    <definedName name="moushikubun264">変更別紙!$C$276</definedName>
    <definedName name="moushikubun265">変更別紙!$C$277</definedName>
    <definedName name="moushikubun266">変更別紙!$C$278</definedName>
    <definedName name="moushikubun267">変更別紙!$C$279</definedName>
    <definedName name="moushikubun268">変更別紙!$C$280</definedName>
    <definedName name="moushikubun269">変更別紙!$C$281</definedName>
    <definedName name="moushikubun270">変更別紙!$C$282</definedName>
    <definedName name="moushikubun271">変更別紙!$C$283</definedName>
    <definedName name="moushikubun272">変更別紙!$C$284</definedName>
    <definedName name="moushikubun273">変更別紙!$C$285</definedName>
    <definedName name="moushikubun274">変更別紙!$C$286</definedName>
    <definedName name="moushikubun275">変更別紙!$C$287</definedName>
    <definedName name="moushikubun276">変更別紙!$C$288</definedName>
    <definedName name="moushikubun277">変更別紙!$C$289</definedName>
    <definedName name="moushikubun278">変更別紙!$C$290</definedName>
    <definedName name="moushikubun279">変更別紙!$C$291</definedName>
    <definedName name="moushikubun280">変更別紙!$C$292</definedName>
    <definedName name="moushikubun281">変更別紙!$C$293</definedName>
    <definedName name="moushikubun282">変更別紙!$C$294</definedName>
    <definedName name="moushikubun283">変更別紙!$C$295</definedName>
    <definedName name="moushikubun284">変更別紙!$C$296</definedName>
    <definedName name="moushikubun285">変更別紙!$C$297</definedName>
    <definedName name="moushikubun286">変更別紙!$C$298</definedName>
    <definedName name="moushikubun287">変更別紙!$C$299</definedName>
    <definedName name="moushikubun288">変更別紙!$C$300</definedName>
    <definedName name="moushikubun289">変更別紙!$C$301</definedName>
    <definedName name="moushikubun290">変更別紙!$C$302</definedName>
    <definedName name="moushikubun291">変更別紙!$C$303</definedName>
    <definedName name="moushikubun292">変更別紙!$C$304</definedName>
    <definedName name="moushikubun293">変更別紙!$C$305</definedName>
    <definedName name="moushikubun294">変更別紙!$C$306</definedName>
    <definedName name="moushikubun295">変更別紙!$C$307</definedName>
    <definedName name="moushikubun296">変更別紙!$C$308</definedName>
    <definedName name="moushikubun297">変更別紙!$C$309</definedName>
    <definedName name="moushikubun298">変更別紙!$C$310</definedName>
    <definedName name="moushikubun299">変更別紙!$C$311</definedName>
    <definedName name="moushikubun300">変更別紙!$C$312</definedName>
    <definedName name="moushikubun301">変更別紙!$C$313</definedName>
    <definedName name="moushikubun302">変更別紙!$C$314</definedName>
    <definedName name="moushikubun303">変更別紙!$C$315</definedName>
    <definedName name="moushikubun304">変更別紙!$C$316</definedName>
    <definedName name="moushikubun305">変更別紙!$C$317</definedName>
    <definedName name="moushikubun306">変更別紙!$C$318</definedName>
    <definedName name="moushikubun307">変更別紙!$C$319</definedName>
    <definedName name="moushikubun308">変更別紙!$C$320</definedName>
    <definedName name="moushikubun309">変更別紙!$C$321</definedName>
    <definedName name="moushikubun310">変更別紙!$C$322</definedName>
    <definedName name="moushikubun311">変更別紙!$C$323</definedName>
    <definedName name="moushikubun312">変更別紙!$C$324</definedName>
    <definedName name="moushikubun313">変更別紙!$C$325</definedName>
    <definedName name="moushikubun314">変更別紙!$C$326</definedName>
    <definedName name="moushikubun315">変更別紙!$C$327</definedName>
    <definedName name="moushikubun316">変更別紙!$C$328</definedName>
    <definedName name="moushikubun317">変更別紙!$C$329</definedName>
    <definedName name="moushikubun318">変更別紙!$C$330</definedName>
    <definedName name="moushikubun319">変更別紙!$C$331</definedName>
    <definedName name="moushikubun320">変更別紙!$C$332</definedName>
    <definedName name="moushikubun321">変更別紙!$C$333</definedName>
    <definedName name="moushikubun322">変更別紙!$C$334</definedName>
    <definedName name="moushikubun323">変更別紙!$C$335</definedName>
    <definedName name="moushikubun324">変更別紙!$C$336</definedName>
    <definedName name="moushikubun325">変更別紙!$C$337</definedName>
    <definedName name="moushikubun326">変更別紙!$C$338</definedName>
    <definedName name="moushikubun327">変更別紙!$C$339</definedName>
    <definedName name="moushikubun328">変更別紙!$C$340</definedName>
    <definedName name="moushikubun329">変更別紙!$C$341</definedName>
    <definedName name="moushikubun330">変更別紙!$C$342</definedName>
    <definedName name="moushikubun331">変更別紙!$C$343</definedName>
    <definedName name="moushikubun332">変更別紙!$C$344</definedName>
    <definedName name="moushikubun333">変更別紙!$C$345</definedName>
    <definedName name="moushikubun334">変更別紙!$C$346</definedName>
    <definedName name="moushikubun335">変更別紙!$C$347</definedName>
    <definedName name="moushikubun336">変更別紙!$C$348</definedName>
    <definedName name="moushikubun337">変更別紙!$C$349</definedName>
    <definedName name="moushikubun338">変更別紙!$C$350</definedName>
    <definedName name="moushikubun339">変更別紙!$C$351</definedName>
    <definedName name="moushikubun340">変更別紙!$C$352</definedName>
    <definedName name="moushikubun341">変更別紙!$C$353</definedName>
    <definedName name="moushikubun342">変更別紙!$C$354</definedName>
    <definedName name="moushikubun343">変更別紙!$C$355</definedName>
    <definedName name="moushikubun344">変更別紙!$C$356</definedName>
    <definedName name="moushikubun345">変更別紙!$C$357</definedName>
    <definedName name="moushikubun346">変更別紙!$C$358</definedName>
    <definedName name="moushikubun347">変更別紙!$C$359</definedName>
    <definedName name="moushikubun348">変更別紙!$C$360</definedName>
    <definedName name="moushikubun349">変更別紙!$C$361</definedName>
    <definedName name="moushikubun350">変更別紙!$C$362</definedName>
    <definedName name="moushikubun351">変更別紙!$C$363</definedName>
    <definedName name="moushikubun352">変更別紙!$C$364</definedName>
    <definedName name="moushikubun353">変更別紙!$C$365</definedName>
    <definedName name="moushikubun354">変更別紙!$C$366</definedName>
    <definedName name="moushikubun355">変更別紙!$C$367</definedName>
    <definedName name="moushikubun356">変更別紙!$C$368</definedName>
    <definedName name="moushikubun357">変更別紙!$C$369</definedName>
    <definedName name="moushikubun358">変更別紙!$C$370</definedName>
    <definedName name="moushikubun359">変更別紙!$C$371</definedName>
    <definedName name="moushikubun360">変更別紙!$C$372</definedName>
    <definedName name="moushikubun361">変更別紙!$C$373</definedName>
    <definedName name="moushikubun362">変更別紙!$C$374</definedName>
    <definedName name="moushikubun363">変更別紙!$C$375</definedName>
    <definedName name="moushikubun364">変更別紙!$C$376</definedName>
    <definedName name="moushikubun365">変更別紙!$C$377</definedName>
    <definedName name="moushikubun366">変更別紙!$C$378</definedName>
    <definedName name="moushikubun367">変更別紙!$C$379</definedName>
    <definedName name="moushikubun368">変更別紙!$C$380</definedName>
    <definedName name="moushikubun369">変更別紙!$C$381</definedName>
    <definedName name="moushikubun370">変更別紙!$C$382</definedName>
    <definedName name="moushikubun371">変更別紙!$C$383</definedName>
    <definedName name="moushikubun372">変更別紙!$C$384</definedName>
    <definedName name="moushikubun373">変更別紙!$C$385</definedName>
    <definedName name="moushikubun374">変更別紙!$C$386</definedName>
    <definedName name="moushikubun375">変更別紙!$C$387</definedName>
    <definedName name="moushikubun376">変更別紙!$C$388</definedName>
    <definedName name="moushikubun377">変更別紙!$C$389</definedName>
    <definedName name="moushikubun378">変更別紙!$C$390</definedName>
    <definedName name="moushikubun379">変更別紙!$C$391</definedName>
    <definedName name="moushikubun380">変更別紙!$C$392</definedName>
    <definedName name="moushikubun381">変更別紙!$C$393</definedName>
    <definedName name="moushikubun382">変更別紙!$C$394</definedName>
    <definedName name="moushikubun383">変更別紙!$C$395</definedName>
    <definedName name="moushikubun384">変更別紙!$C$396</definedName>
    <definedName name="moushikubun385">変更別紙!$C$397</definedName>
    <definedName name="moushikubun386">変更別紙!$C$398</definedName>
    <definedName name="moushikubun387">変更別紙!$C$399</definedName>
    <definedName name="moushikubun388">変更別紙!$C$400</definedName>
    <definedName name="moushikubun389">変更別紙!$C$401</definedName>
    <definedName name="moushikubun390">変更別紙!$C$402</definedName>
    <definedName name="moushikubun391">変更別紙!$C$403</definedName>
    <definedName name="moushikubun392">変更別紙!$C$404</definedName>
    <definedName name="moushikubun393">変更別紙!$C$405</definedName>
    <definedName name="moushikubun394">変更別紙!$C$406</definedName>
    <definedName name="moushikubun395">変更別紙!$C$407</definedName>
    <definedName name="moushikubun396">変更別紙!$C$408</definedName>
    <definedName name="moushikubun397">変更別紙!$C$409</definedName>
    <definedName name="moushikubun398">変更別紙!$C$410</definedName>
    <definedName name="moushikubun399">変更別紙!$C$411</definedName>
    <definedName name="moushikubun400">変更別紙!$C$412</definedName>
    <definedName name="moushikubun401">変更別紙!$C$413</definedName>
    <definedName name="moushikubun402">変更別紙!$C$414</definedName>
    <definedName name="moushikubun403">変更別紙!$C$415</definedName>
    <definedName name="moushikubun404">変更別紙!$C$416</definedName>
    <definedName name="moushikubun405">変更別紙!$C$417</definedName>
    <definedName name="moushikubun406">変更別紙!$C$418</definedName>
    <definedName name="moushikubun407">変更別紙!$C$419</definedName>
    <definedName name="moushikubun408">変更別紙!$C$420</definedName>
    <definedName name="moushikubun409">変更別紙!$C$421</definedName>
    <definedName name="moushikubun410">変更別紙!$C$422</definedName>
    <definedName name="moushikubun411">変更別紙!$C$423</definedName>
    <definedName name="moushikubun412">変更別紙!$C$424</definedName>
    <definedName name="moushikubun413">変更別紙!$C$425</definedName>
    <definedName name="moushikubun414">変更別紙!$C$426</definedName>
    <definedName name="moushikubun415">変更別紙!$C$427</definedName>
    <definedName name="moushikubun416">変更別紙!$C$428</definedName>
    <definedName name="moushikubun417">変更別紙!$C$429</definedName>
    <definedName name="moushikubun418">変更別紙!$C$430</definedName>
    <definedName name="moushikubun419">変更別紙!$C$431</definedName>
    <definedName name="moushikubun420">変更別紙!$C$432</definedName>
    <definedName name="moushikubun421">変更別紙!$C$433</definedName>
    <definedName name="moushikubun422">変更別紙!$C$434</definedName>
    <definedName name="moushikubun423">変更別紙!$C$435</definedName>
    <definedName name="moushikubun424">変更別紙!$C$436</definedName>
    <definedName name="moushikubun425">変更別紙!$C$437</definedName>
    <definedName name="moushikubun426">変更別紙!$C$438</definedName>
    <definedName name="moushikubun427">変更別紙!$C$439</definedName>
    <definedName name="moushikubun428">変更別紙!$C$440</definedName>
    <definedName name="moushikubun429">変更別紙!$C$441</definedName>
    <definedName name="moushikubun430">変更別紙!$C$442</definedName>
    <definedName name="moushikubun431">変更別紙!$C$443</definedName>
    <definedName name="moushikubun432">変更別紙!$C$444</definedName>
    <definedName name="moushikubun433">変更別紙!$C$445</definedName>
    <definedName name="moushikubun434">変更別紙!$C$446</definedName>
    <definedName name="moushikubun435">変更別紙!$C$447</definedName>
    <definedName name="moushikubun436">変更別紙!$C$448</definedName>
    <definedName name="moushikubun437">変更別紙!$C$449</definedName>
    <definedName name="moushikubun438">変更別紙!$C$450</definedName>
    <definedName name="moushikubun439">変更別紙!$C$451</definedName>
    <definedName name="moushikubun440">変更別紙!$C$452</definedName>
    <definedName name="moushikubun441">変更別紙!$C$453</definedName>
    <definedName name="moushikubun442">変更別紙!$C$454</definedName>
    <definedName name="moushikubun443">変更別紙!$C$455</definedName>
    <definedName name="moushikubun444">変更別紙!$C$456</definedName>
    <definedName name="moushikubun445">変更別紙!$C$457</definedName>
    <definedName name="moushikubun446">変更別紙!$C$458</definedName>
    <definedName name="moushikubun447">変更別紙!$C$459</definedName>
    <definedName name="moushikubun448">変更別紙!$C$460</definedName>
    <definedName name="moushikubun449">変更別紙!$C$461</definedName>
    <definedName name="moushikubun450">変更別紙!$C$462</definedName>
    <definedName name="moushikubun451">変更別紙!$C$463</definedName>
    <definedName name="moushikubun452">変更別紙!$C$464</definedName>
    <definedName name="moushikubun453">変更別紙!$C$465</definedName>
    <definedName name="moushikubun454">変更別紙!$C$466</definedName>
    <definedName name="moushikubun455">変更別紙!$C$467</definedName>
    <definedName name="moushikubun456">変更別紙!$C$468</definedName>
    <definedName name="moushikubun457">変更別紙!$C$469</definedName>
    <definedName name="moushikubun458">変更別紙!$C$470</definedName>
    <definedName name="moushikubun459">変更別紙!$C$471</definedName>
    <definedName name="moushikubun460">変更別紙!$C$472</definedName>
    <definedName name="moushikubun461">変更別紙!$C$473</definedName>
    <definedName name="moushikubun462">変更別紙!$C$474</definedName>
    <definedName name="moushikubun463">変更別紙!$C$475</definedName>
    <definedName name="moushikubun464">変更別紙!$C$476</definedName>
    <definedName name="moushikubun465">変更別紙!$C$477</definedName>
    <definedName name="moushikubun466">変更別紙!$C$478</definedName>
    <definedName name="moushikubun467">変更別紙!$C$479</definedName>
    <definedName name="moushikubun468">変更別紙!$C$480</definedName>
    <definedName name="moushikubun469">変更別紙!$C$481</definedName>
    <definedName name="moushikubun470">変更別紙!$C$482</definedName>
    <definedName name="moushikubun471">変更別紙!$C$483</definedName>
    <definedName name="moushikubun472">変更別紙!$C$484</definedName>
    <definedName name="moushikubun473">変更別紙!$C$485</definedName>
    <definedName name="moushikubun474">変更別紙!$C$486</definedName>
    <definedName name="moushikubun475">変更別紙!$C$487</definedName>
    <definedName name="moushikubun476">変更別紙!$C$488</definedName>
    <definedName name="moushikubun477">変更別紙!$C$489</definedName>
    <definedName name="moushikubun478">変更別紙!$C$490</definedName>
    <definedName name="moushikubun479">変更別紙!$C$491</definedName>
    <definedName name="moushikubun480">変更別紙!$C$492</definedName>
    <definedName name="moushikubun481">変更別紙!$C$493</definedName>
    <definedName name="moushikubun482">変更別紙!$C$494</definedName>
    <definedName name="moushikubun483">変更別紙!$C$495</definedName>
    <definedName name="moushikubun484">変更別紙!$C$496</definedName>
    <definedName name="moushikubun485">変更別紙!$C$497</definedName>
    <definedName name="moushikubun486">変更別紙!$C$498</definedName>
    <definedName name="moushikubun487">変更別紙!$C$499</definedName>
    <definedName name="moushikubun488">変更別紙!$C$500</definedName>
    <definedName name="moushikubun489">変更別紙!$C$501</definedName>
    <definedName name="moushikubun490">変更別紙!$C$502</definedName>
    <definedName name="moushikubun491">変更別紙!$C$503</definedName>
    <definedName name="moushikubun492">変更別紙!$C$504</definedName>
    <definedName name="moushikubun493">変更別紙!$C$505</definedName>
    <definedName name="moushikubun494">変更別紙!$C$506</definedName>
    <definedName name="moushikubun495">変更別紙!$C$507</definedName>
    <definedName name="moushikubun496">変更別紙!$C$508</definedName>
    <definedName name="moushikubun497">変更別紙!$C$509</definedName>
    <definedName name="moushikubun498">変更別紙!$C$510</definedName>
    <definedName name="moushikubun499">変更別紙!$C$511</definedName>
    <definedName name="moushikubun500">変更別紙!$C$512</definedName>
    <definedName name="_xlnm.Print_Area" localSheetId="0">変更お申込書!$A$1:$AJ$41</definedName>
    <definedName name="salesChannelDeptName">変更お申込書!$M$42</definedName>
    <definedName name="salesChannelMailAddress">変更お申込書!$M$48</definedName>
    <definedName name="salesChannelPersonName">変更お申込書!$M$44</definedName>
    <definedName name="salesChannelPhoneNumber">変更お申込書!$M$46</definedName>
    <definedName name="shubetsu001">変更別紙!$D$13</definedName>
    <definedName name="shubetsu002">変更別紙!$D$14</definedName>
    <definedName name="shubetsu003">変更別紙!$D$15</definedName>
    <definedName name="shubetsu004">変更別紙!$D$16</definedName>
    <definedName name="shubetsu005">変更別紙!$D$17</definedName>
    <definedName name="shubetsu006">変更別紙!$D$18</definedName>
    <definedName name="shubetsu007">変更別紙!$D$19</definedName>
    <definedName name="shubetsu008">変更別紙!$D$20</definedName>
    <definedName name="shubetsu009">変更別紙!$D$21</definedName>
    <definedName name="shubetsu010">変更別紙!$D$22</definedName>
    <definedName name="shubetsu011">変更別紙!$D$23</definedName>
    <definedName name="shubetsu012">変更別紙!$D$24</definedName>
    <definedName name="shubetsu013">変更別紙!$D$25</definedName>
    <definedName name="shubetsu014">変更別紙!$D$26</definedName>
    <definedName name="shubetsu015">変更別紙!$D$27</definedName>
    <definedName name="shubetsu016">変更別紙!$D$28</definedName>
    <definedName name="shubetsu017">変更別紙!$D$29</definedName>
    <definedName name="shubetsu018">変更別紙!$D$30</definedName>
    <definedName name="shubetsu019">変更別紙!$D$31</definedName>
    <definedName name="shubetsu020">変更別紙!$D$32</definedName>
    <definedName name="shubetsu021">変更別紙!$D$33</definedName>
    <definedName name="shubetsu022">変更別紙!$D$34</definedName>
    <definedName name="shubetsu023">変更別紙!$D$35</definedName>
    <definedName name="shubetsu024">変更別紙!$D$36</definedName>
    <definedName name="shubetsu025">変更別紙!$D$37</definedName>
    <definedName name="shubetsu026">変更別紙!$D$38</definedName>
    <definedName name="shubetsu027">変更別紙!$D$39</definedName>
    <definedName name="shubetsu028">変更別紙!$D$40</definedName>
    <definedName name="shubetsu029">変更別紙!$D$41</definedName>
    <definedName name="shubetsu030">変更別紙!$D$42</definedName>
    <definedName name="shubetsu031">変更別紙!$D$43</definedName>
    <definedName name="shubetsu032">変更別紙!$D$44</definedName>
    <definedName name="shubetsu033">変更別紙!$D$45</definedName>
    <definedName name="shubetsu034">変更別紙!$D$46</definedName>
    <definedName name="shubetsu035">変更別紙!$D$47</definedName>
    <definedName name="shubetsu036">変更別紙!$D$48</definedName>
    <definedName name="shubetsu037">変更別紙!$D$49</definedName>
    <definedName name="shubetsu038">変更別紙!$D$50</definedName>
    <definedName name="shubetsu039">変更別紙!$D$51</definedName>
    <definedName name="shubetsu040">変更別紙!$D$52</definedName>
    <definedName name="shubetsu041">変更別紙!$D$53</definedName>
    <definedName name="shubetsu042">変更別紙!$D$54</definedName>
    <definedName name="shubetsu043">変更別紙!$D$55</definedName>
    <definedName name="shubetsu044">変更別紙!$D$56</definedName>
    <definedName name="shubetsu045">変更別紙!$D$57</definedName>
    <definedName name="shubetsu046">変更別紙!$D$58</definedName>
    <definedName name="shubetsu047">変更別紙!$D$59</definedName>
    <definedName name="shubetsu048">変更別紙!$D$60</definedName>
    <definedName name="shubetsu049">変更別紙!$D$61</definedName>
    <definedName name="shubetsu050">変更別紙!$D$62</definedName>
    <definedName name="shubetsu051">変更別紙!$D$63</definedName>
    <definedName name="shubetsu052">変更別紙!$D$64</definedName>
    <definedName name="shubetsu053">変更別紙!$D$65</definedName>
    <definedName name="shubetsu054">変更別紙!$D$66</definedName>
    <definedName name="shubetsu055">変更別紙!$D$67</definedName>
    <definedName name="shubetsu056">変更別紙!$D$68</definedName>
    <definedName name="shubetsu057">変更別紙!$D$69</definedName>
    <definedName name="shubetsu058">変更別紙!$D$70</definedName>
    <definedName name="shubetsu059">変更別紙!$D$71</definedName>
    <definedName name="shubetsu060">変更別紙!$D$72</definedName>
    <definedName name="shubetsu061">変更別紙!$D$73</definedName>
    <definedName name="shubetsu062">変更別紙!$D$74</definedName>
    <definedName name="shubetsu063">変更別紙!$D$75</definedName>
    <definedName name="shubetsu064">変更別紙!$D$76</definedName>
    <definedName name="shubetsu065">変更別紙!$D$77</definedName>
    <definedName name="shubetsu066">変更別紙!$D$78</definedName>
    <definedName name="shubetsu067">変更別紙!$D$79</definedName>
    <definedName name="shubetsu068">変更別紙!$D$80</definedName>
    <definedName name="shubetsu069">変更別紙!$D$81</definedName>
    <definedName name="shubetsu070">変更別紙!$D$82</definedName>
    <definedName name="shubetsu071">変更別紙!$D$83</definedName>
    <definedName name="shubetsu072">変更別紙!$D$84</definedName>
    <definedName name="shubetsu073">変更別紙!$D$85</definedName>
    <definedName name="shubetsu074">変更別紙!$D$86</definedName>
    <definedName name="shubetsu075">変更別紙!$D$87</definedName>
    <definedName name="shubetsu076">変更別紙!$D$88</definedName>
    <definedName name="shubetsu077">変更別紙!$D$89</definedName>
    <definedName name="shubetsu078">変更別紙!$D$90</definedName>
    <definedName name="shubetsu079">変更別紙!$D$91</definedName>
    <definedName name="shubetsu080">変更別紙!$D$92</definedName>
    <definedName name="shubetsu081">変更別紙!$D$93</definedName>
    <definedName name="shubetsu082">変更別紙!$D$94</definedName>
    <definedName name="shubetsu083">変更別紙!$D$95</definedName>
    <definedName name="shubetsu084">変更別紙!$D$96</definedName>
    <definedName name="shubetsu085">変更別紙!$D$97</definedName>
    <definedName name="shubetsu086">変更別紙!$D$98</definedName>
    <definedName name="shubetsu087">変更別紙!$D$99</definedName>
    <definedName name="shubetsu088">変更別紙!$D$100</definedName>
    <definedName name="shubetsu089">変更別紙!$D$101</definedName>
    <definedName name="shubetsu090">変更別紙!$D$102</definedName>
    <definedName name="shubetsu091">変更別紙!$D$103</definedName>
    <definedName name="shubetsu092">変更別紙!$D$104</definedName>
    <definedName name="shubetsu093">変更別紙!$D$105</definedName>
    <definedName name="shubetsu094">変更別紙!$D$106</definedName>
    <definedName name="shubetsu095">変更別紙!$D$107</definedName>
    <definedName name="shubetsu096">変更別紙!$D$108</definedName>
    <definedName name="shubetsu097">変更別紙!$D$109</definedName>
    <definedName name="shubetsu098">変更別紙!$D$110</definedName>
    <definedName name="shubetsu099">変更別紙!$D$111</definedName>
    <definedName name="shubetsu100">変更別紙!$D$112</definedName>
    <definedName name="shubetsu101">変更別紙!$D$113</definedName>
    <definedName name="shubetsu102">変更別紙!$D$114</definedName>
    <definedName name="shubetsu103">変更別紙!$D$115</definedName>
    <definedName name="shubetsu104">変更別紙!$D$116</definedName>
    <definedName name="shubetsu105">変更別紙!$D$117</definedName>
    <definedName name="shubetsu106">変更別紙!$D$118</definedName>
    <definedName name="shubetsu107">変更別紙!$D$119</definedName>
    <definedName name="shubetsu108">変更別紙!$D$120</definedName>
    <definedName name="shubetsu109">変更別紙!$D$121</definedName>
    <definedName name="shubetsu110">変更別紙!$D$122</definedName>
    <definedName name="shubetsu111">変更別紙!$D$123</definedName>
    <definedName name="shubetsu112">変更別紙!$D$124</definedName>
    <definedName name="shubetsu113">変更別紙!$D$125</definedName>
    <definedName name="shubetsu114">変更別紙!$D$126</definedName>
    <definedName name="shubetsu115">変更別紙!$D$127</definedName>
    <definedName name="shubetsu116">変更別紙!$D$128</definedName>
    <definedName name="shubetsu117">変更別紙!$D$129</definedName>
    <definedName name="shubetsu118">変更別紙!$D$130</definedName>
    <definedName name="shubetsu119">変更別紙!$D$131</definedName>
    <definedName name="shubetsu120">変更別紙!$D$132</definedName>
    <definedName name="shubetsu121">変更別紙!$D$133</definedName>
    <definedName name="shubetsu122">変更別紙!$D$134</definedName>
    <definedName name="shubetsu123">変更別紙!$D$135</definedName>
    <definedName name="shubetsu124">変更別紙!$D$136</definedName>
    <definedName name="shubetsu125">変更別紙!$D$137</definedName>
    <definedName name="shubetsu126">変更別紙!$D$138</definedName>
    <definedName name="shubetsu127">変更別紙!$D$139</definedName>
    <definedName name="shubetsu128">変更別紙!$D$140</definedName>
    <definedName name="shubetsu129">変更別紙!$D$141</definedName>
    <definedName name="shubetsu130">変更別紙!$D$142</definedName>
    <definedName name="shubetsu131">変更別紙!$D$143</definedName>
    <definedName name="shubetsu132">変更別紙!$D$144</definedName>
    <definedName name="shubetsu133">変更別紙!$D$145</definedName>
    <definedName name="shubetsu134">変更別紙!$D$146</definedName>
    <definedName name="shubetsu135">変更別紙!$D$147</definedName>
    <definedName name="shubetsu136">変更別紙!$D$148</definedName>
    <definedName name="shubetsu137">変更別紙!$D$149</definedName>
    <definedName name="shubetsu138">変更別紙!$D$150</definedName>
    <definedName name="shubetsu139">変更別紙!$D$151</definedName>
    <definedName name="shubetsu140">変更別紙!$D$152</definedName>
    <definedName name="shubetsu141">変更別紙!$D$153</definedName>
    <definedName name="shubetsu142">変更別紙!$D$154</definedName>
    <definedName name="shubetsu143">変更別紙!$D$155</definedName>
    <definedName name="shubetsu144">変更別紙!$D$156</definedName>
    <definedName name="shubetsu145">変更別紙!$D$157</definedName>
    <definedName name="shubetsu146">変更別紙!$D$158</definedName>
    <definedName name="shubetsu147">変更別紙!$D$159</definedName>
    <definedName name="shubetsu148">変更別紙!$D$160</definedName>
    <definedName name="shubetsu149">変更別紙!$D$161</definedName>
    <definedName name="shubetsu150">変更別紙!$D$162</definedName>
    <definedName name="shubetsu151">変更別紙!$D$163</definedName>
    <definedName name="shubetsu152">変更別紙!$D$164</definedName>
    <definedName name="shubetsu153">変更別紙!$D$165</definedName>
    <definedName name="shubetsu154">変更別紙!$D$166</definedName>
    <definedName name="shubetsu155">変更別紙!$D$167</definedName>
    <definedName name="shubetsu156">変更別紙!$D$168</definedName>
    <definedName name="shubetsu157">変更別紙!$D$169</definedName>
    <definedName name="shubetsu158">変更別紙!$D$170</definedName>
    <definedName name="shubetsu159">変更別紙!$D$171</definedName>
    <definedName name="shubetsu160">変更別紙!$D$172</definedName>
    <definedName name="shubetsu161">変更別紙!$D$173</definedName>
    <definedName name="shubetsu162">変更別紙!$D$174</definedName>
    <definedName name="shubetsu163">変更別紙!$D$175</definedName>
    <definedName name="shubetsu164">変更別紙!$D$176</definedName>
    <definedName name="shubetsu165">変更別紙!$D$177</definedName>
    <definedName name="shubetsu166">変更別紙!$D$178</definedName>
    <definedName name="shubetsu167">変更別紙!$D$179</definedName>
    <definedName name="shubetsu168">変更別紙!$D$180</definedName>
    <definedName name="shubetsu169">変更別紙!$D$181</definedName>
    <definedName name="shubetsu170">変更別紙!$D$182</definedName>
    <definedName name="shubetsu171">変更別紙!$D$183</definedName>
    <definedName name="shubetsu172">変更別紙!$D$184</definedName>
    <definedName name="shubetsu173">変更別紙!$D$185</definedName>
    <definedName name="shubetsu174">変更別紙!$D$186</definedName>
    <definedName name="shubetsu175">変更別紙!$D$187</definedName>
    <definedName name="shubetsu176">変更別紙!$D$188</definedName>
    <definedName name="shubetsu177">変更別紙!$D$189</definedName>
    <definedName name="shubetsu178">変更別紙!$D$190</definedName>
    <definedName name="shubetsu179">変更別紙!$D$191</definedName>
    <definedName name="shubetsu180">変更別紙!$D$192</definedName>
    <definedName name="shubetsu181">変更別紙!$D$193</definedName>
    <definedName name="shubetsu182">変更別紙!$D$194</definedName>
    <definedName name="shubetsu183">変更別紙!$D$195</definedName>
    <definedName name="shubetsu184">変更別紙!$D$196</definedName>
    <definedName name="shubetsu185">変更別紙!$D$197</definedName>
    <definedName name="shubetsu186">変更別紙!$D$198</definedName>
    <definedName name="shubetsu187">変更別紙!$D$199</definedName>
    <definedName name="shubetsu188">変更別紙!$D$200</definedName>
    <definedName name="shubetsu189">変更別紙!$D$201</definedName>
    <definedName name="shubetsu190">変更別紙!$D$202</definedName>
    <definedName name="shubetsu191">変更別紙!$D$203</definedName>
    <definedName name="shubetsu192">変更別紙!$D$204</definedName>
    <definedName name="shubetsu193">変更別紙!$D$205</definedName>
    <definedName name="shubetsu194">変更別紙!$D$206</definedName>
    <definedName name="shubetsu195">変更別紙!$D$207</definedName>
    <definedName name="shubetsu196">変更別紙!$D$208</definedName>
    <definedName name="shubetsu197">変更別紙!$D$209</definedName>
    <definedName name="shubetsu198">変更別紙!$D$210</definedName>
    <definedName name="shubetsu199">変更別紙!$D$211</definedName>
    <definedName name="shubetsu200">変更別紙!$D$212</definedName>
    <definedName name="shubetsu201">変更別紙!$D$213</definedName>
    <definedName name="shubetsu202">変更別紙!$D$214</definedName>
    <definedName name="shubetsu203">変更別紙!$D$215</definedName>
    <definedName name="shubetsu204">変更別紙!$D$216</definedName>
    <definedName name="shubetsu205">変更別紙!$D$217</definedName>
    <definedName name="shubetsu206">変更別紙!$D$218</definedName>
    <definedName name="shubetsu207">変更別紙!$D$219</definedName>
    <definedName name="shubetsu208">変更別紙!$D$220</definedName>
    <definedName name="shubetsu209">変更別紙!$D$221</definedName>
    <definedName name="shubetsu210">変更別紙!$D$222</definedName>
    <definedName name="shubetsu211">変更別紙!$D$223</definedName>
    <definedName name="shubetsu212">変更別紙!$D$224</definedName>
    <definedName name="shubetsu213">変更別紙!$D$225</definedName>
    <definedName name="shubetsu214">変更別紙!$D$226</definedName>
    <definedName name="shubetsu215">変更別紙!$D$227</definedName>
    <definedName name="shubetsu216">変更別紙!$D$228</definedName>
    <definedName name="shubetsu217">変更別紙!$D$229</definedName>
    <definedName name="shubetsu218">変更別紙!$D$230</definedName>
    <definedName name="shubetsu219">変更別紙!$D$231</definedName>
    <definedName name="shubetsu220">変更別紙!$D$232</definedName>
    <definedName name="shubetsu221">変更別紙!$D$233</definedName>
    <definedName name="shubetsu222">変更別紙!$D$234</definedName>
    <definedName name="shubetsu223">変更別紙!$D$235</definedName>
    <definedName name="shubetsu224">変更別紙!$D$236</definedName>
    <definedName name="shubetsu225">変更別紙!$D$237</definedName>
    <definedName name="shubetsu226">変更別紙!$D$238</definedName>
    <definedName name="shubetsu227">変更別紙!$D$239</definedName>
    <definedName name="shubetsu228">変更別紙!$D$240</definedName>
    <definedName name="shubetsu229">変更別紙!$D$241</definedName>
    <definedName name="shubetsu230">変更別紙!$D$242</definedName>
    <definedName name="shubetsu231">変更別紙!$D$243</definedName>
    <definedName name="shubetsu232">変更別紙!$D$244</definedName>
    <definedName name="shubetsu233">変更別紙!$D$245</definedName>
    <definedName name="shubetsu234">変更別紙!$D$246</definedName>
    <definedName name="shubetsu235">変更別紙!$D$247</definedName>
    <definedName name="shubetsu236">変更別紙!$D$248</definedName>
    <definedName name="shubetsu237">変更別紙!$D$249</definedName>
    <definedName name="shubetsu238">変更別紙!$D$250</definedName>
    <definedName name="shubetsu239">変更別紙!$D$251</definedName>
    <definedName name="shubetsu240">変更別紙!$D$252</definedName>
    <definedName name="shubetsu241">変更別紙!$D$253</definedName>
    <definedName name="shubetsu242">変更別紙!$D$254</definedName>
    <definedName name="shubetsu243">変更別紙!$D$255</definedName>
    <definedName name="shubetsu244">変更別紙!$D$256</definedName>
    <definedName name="shubetsu245">変更別紙!$D$257</definedName>
    <definedName name="shubetsu246">変更別紙!$D$258</definedName>
    <definedName name="shubetsu247">変更別紙!$D$259</definedName>
    <definedName name="shubetsu248">変更別紙!$D$260</definedName>
    <definedName name="shubetsu249">変更別紙!$D$261</definedName>
    <definedName name="shubetsu250">変更別紙!$D$262</definedName>
    <definedName name="shubetsu251">変更別紙!$D$263</definedName>
    <definedName name="shubetsu252">変更別紙!$D$264</definedName>
    <definedName name="shubetsu253">変更別紙!$D$265</definedName>
    <definedName name="shubetsu254">変更別紙!$D$266</definedName>
    <definedName name="shubetsu255">変更別紙!$D$267</definedName>
    <definedName name="shubetsu256">変更別紙!$D$268</definedName>
    <definedName name="shubetsu257">変更別紙!$D$269</definedName>
    <definedName name="shubetsu258">変更別紙!$D$270</definedName>
    <definedName name="shubetsu259">変更別紙!$D$271</definedName>
    <definedName name="shubetsu260">変更別紙!$D$272</definedName>
    <definedName name="shubetsu261">変更別紙!$D$273</definedName>
    <definedName name="shubetsu262">変更別紙!$D$274</definedName>
    <definedName name="shubetsu263">変更別紙!$D$275</definedName>
    <definedName name="shubetsu264">変更別紙!$D$276</definedName>
    <definedName name="shubetsu265">変更別紙!$D$277</definedName>
    <definedName name="shubetsu266">変更別紙!$D$278</definedName>
    <definedName name="shubetsu267">変更別紙!$D$279</definedName>
    <definedName name="shubetsu268">変更別紙!$D$280</definedName>
    <definedName name="shubetsu269">変更別紙!$D$281</definedName>
    <definedName name="shubetsu270">変更別紙!$D$282</definedName>
    <definedName name="shubetsu271">変更別紙!$D$283</definedName>
    <definedName name="shubetsu272">変更別紙!$D$284</definedName>
    <definedName name="shubetsu273">変更別紙!$D$285</definedName>
    <definedName name="shubetsu274">変更別紙!$D$286</definedName>
    <definedName name="shubetsu275">変更別紙!$D$287</definedName>
    <definedName name="shubetsu276">変更別紙!$D$288</definedName>
    <definedName name="shubetsu277">変更別紙!$D$289</definedName>
    <definedName name="shubetsu278">変更別紙!$D$290</definedName>
    <definedName name="shubetsu279">変更別紙!$D$291</definedName>
    <definedName name="shubetsu280">変更別紙!$D$292</definedName>
    <definedName name="shubetsu281">変更別紙!$D$293</definedName>
    <definedName name="shubetsu282">変更別紙!$D$294</definedName>
    <definedName name="shubetsu283">変更別紙!$D$295</definedName>
    <definedName name="shubetsu284">変更別紙!$D$296</definedName>
    <definedName name="shubetsu285">変更別紙!$D$297</definedName>
    <definedName name="shubetsu286">変更別紙!$D$298</definedName>
    <definedName name="shubetsu287">変更別紙!$D$299</definedName>
    <definedName name="shubetsu288">変更別紙!$D$300</definedName>
    <definedName name="shubetsu289">変更別紙!$D$301</definedName>
    <definedName name="shubetsu290">変更別紙!$D$302</definedName>
    <definedName name="shubetsu291">変更別紙!$D$303</definedName>
    <definedName name="shubetsu292">変更別紙!$D$304</definedName>
    <definedName name="shubetsu293">変更別紙!$D$305</definedName>
    <definedName name="shubetsu294">変更別紙!$D$306</definedName>
    <definedName name="shubetsu295">変更別紙!$D$307</definedName>
    <definedName name="shubetsu296">変更別紙!$D$308</definedName>
    <definedName name="shubetsu297">変更別紙!$D$309</definedName>
    <definedName name="shubetsu298">変更別紙!$D$310</definedName>
    <definedName name="shubetsu299">変更別紙!$D$311</definedName>
    <definedName name="shubetsu300">変更別紙!$D$312</definedName>
    <definedName name="shubetsu301">変更別紙!$D$313</definedName>
    <definedName name="shubetsu302">変更別紙!$D$314</definedName>
    <definedName name="shubetsu303">変更別紙!$D$315</definedName>
    <definedName name="shubetsu304">変更別紙!$D$316</definedName>
    <definedName name="shubetsu305">変更別紙!$D$317</definedName>
    <definedName name="shubetsu306">変更別紙!$D$318</definedName>
    <definedName name="shubetsu307">変更別紙!$D$319</definedName>
    <definedName name="shubetsu308">変更別紙!$D$320</definedName>
    <definedName name="shubetsu309">変更別紙!$D$321</definedName>
    <definedName name="shubetsu310">変更別紙!$D$322</definedName>
    <definedName name="shubetsu311">変更別紙!$D$323</definedName>
    <definedName name="shubetsu312">変更別紙!$D$324</definedName>
    <definedName name="shubetsu313">変更別紙!$D$325</definedName>
    <definedName name="shubetsu314">変更別紙!$D$326</definedName>
    <definedName name="shubetsu315">変更別紙!$D$327</definedName>
    <definedName name="shubetsu316">変更別紙!$D$328</definedName>
    <definedName name="shubetsu317">変更別紙!$D$329</definedName>
    <definedName name="shubetsu318">変更別紙!$D$330</definedName>
    <definedName name="shubetsu319">変更別紙!$D$331</definedName>
    <definedName name="shubetsu320">変更別紙!$D$332</definedName>
    <definedName name="shubetsu321">変更別紙!$D$333</definedName>
    <definedName name="shubetsu322">変更別紙!$D$334</definedName>
    <definedName name="shubetsu323">変更別紙!$D$335</definedName>
    <definedName name="shubetsu324">変更別紙!$D$336</definedName>
    <definedName name="shubetsu325">変更別紙!$D$337</definedName>
    <definedName name="shubetsu326">変更別紙!$D$338</definedName>
    <definedName name="shubetsu327">変更別紙!$D$339</definedName>
    <definedName name="shubetsu328">変更別紙!$D$340</definedName>
    <definedName name="shubetsu329">変更別紙!$D$341</definedName>
    <definedName name="shubetsu330">変更別紙!$D$342</definedName>
    <definedName name="shubetsu331">変更別紙!$D$343</definedName>
    <definedName name="shubetsu332">変更別紙!$D$344</definedName>
    <definedName name="shubetsu333">変更別紙!$D$345</definedName>
    <definedName name="shubetsu334">変更別紙!$D$346</definedName>
    <definedName name="shubetsu335">変更別紙!$D$347</definedName>
    <definedName name="shubetsu336">変更別紙!$D$348</definedName>
    <definedName name="shubetsu337">変更別紙!$D$349</definedName>
    <definedName name="shubetsu338">変更別紙!$D$350</definedName>
    <definedName name="shubetsu339">変更別紙!$D$351</definedName>
    <definedName name="shubetsu340">変更別紙!$D$352</definedName>
    <definedName name="shubetsu341">変更別紙!$D$353</definedName>
    <definedName name="shubetsu342">変更別紙!$D$354</definedName>
    <definedName name="shubetsu343">変更別紙!$D$355</definedName>
    <definedName name="shubetsu344">変更別紙!$D$356</definedName>
    <definedName name="shubetsu345">変更別紙!$D$357</definedName>
    <definedName name="shubetsu346">変更別紙!$D$358</definedName>
    <definedName name="shubetsu347">変更別紙!$D$359</definedName>
    <definedName name="shubetsu348">変更別紙!$D$360</definedName>
    <definedName name="shubetsu349">変更別紙!$D$361</definedName>
    <definedName name="shubetsu350">変更別紙!$D$362</definedName>
    <definedName name="shubetsu351">変更別紙!$D$363</definedName>
    <definedName name="shubetsu352">変更別紙!$D$364</definedName>
    <definedName name="shubetsu353">変更別紙!$D$365</definedName>
    <definedName name="shubetsu354">変更別紙!$D$366</definedName>
    <definedName name="shubetsu355">変更別紙!$D$367</definedName>
    <definedName name="shubetsu356">変更別紙!$D$368</definedName>
    <definedName name="shubetsu357">変更別紙!$D$369</definedName>
    <definedName name="shubetsu358">変更別紙!$D$370</definedName>
    <definedName name="shubetsu359">変更別紙!$D$371</definedName>
    <definedName name="shubetsu360">変更別紙!$D$372</definedName>
    <definedName name="shubetsu361">変更別紙!$D$373</definedName>
    <definedName name="shubetsu362">変更別紙!$D$374</definedName>
    <definedName name="shubetsu363">変更別紙!$D$375</definedName>
    <definedName name="shubetsu364">変更別紙!$D$376</definedName>
    <definedName name="shubetsu365">変更別紙!$D$377</definedName>
    <definedName name="shubetsu366">変更別紙!$D$378</definedName>
    <definedName name="shubetsu367">変更別紙!$D$379</definedName>
    <definedName name="shubetsu368">変更別紙!$D$380</definedName>
    <definedName name="shubetsu369">変更別紙!$D$381</definedName>
    <definedName name="shubetsu370">変更別紙!$D$382</definedName>
    <definedName name="shubetsu371">変更別紙!$D$383</definedName>
    <definedName name="shubetsu372">変更別紙!$D$384</definedName>
    <definedName name="shubetsu373">変更別紙!$D$385</definedName>
    <definedName name="shubetsu374">変更別紙!$D$386</definedName>
    <definedName name="shubetsu375">変更別紙!$D$387</definedName>
    <definedName name="shubetsu376">変更別紙!$D$388</definedName>
    <definedName name="shubetsu377">変更別紙!$D$389</definedName>
    <definedName name="shubetsu378">変更別紙!$D$390</definedName>
    <definedName name="shubetsu379">変更別紙!$D$391</definedName>
    <definedName name="shubetsu380">変更別紙!$D$392</definedName>
    <definedName name="shubetsu381">変更別紙!$D$393</definedName>
    <definedName name="shubetsu382">変更別紙!$D$394</definedName>
    <definedName name="shubetsu383">変更別紙!$D$395</definedName>
    <definedName name="shubetsu384">変更別紙!$D$396</definedName>
    <definedName name="shubetsu385">変更別紙!$D$397</definedName>
    <definedName name="shubetsu386">変更別紙!$D$398</definedName>
    <definedName name="shubetsu387">変更別紙!$D$399</definedName>
    <definedName name="shubetsu388">変更別紙!$D$400</definedName>
    <definedName name="shubetsu389">変更別紙!$D$401</definedName>
    <definedName name="shubetsu390">変更別紙!$D$402</definedName>
    <definedName name="shubetsu391">変更別紙!$D$403</definedName>
    <definedName name="shubetsu392">変更別紙!$D$404</definedName>
    <definedName name="shubetsu393">変更別紙!$D$405</definedName>
    <definedName name="shubetsu394">変更別紙!$D$406</definedName>
    <definedName name="shubetsu395">変更別紙!$D$407</definedName>
    <definedName name="shubetsu396">変更別紙!$D$408</definedName>
    <definedName name="shubetsu397">変更別紙!$D$409</definedName>
    <definedName name="shubetsu398">変更別紙!$D$410</definedName>
    <definedName name="shubetsu399">変更別紙!$D$411</definedName>
    <definedName name="shubetsu400">変更別紙!$D$412</definedName>
    <definedName name="shubetsu401">変更別紙!$D$413</definedName>
    <definedName name="shubetsu402">変更別紙!$D$414</definedName>
    <definedName name="shubetsu403">変更別紙!$D$415</definedName>
    <definedName name="shubetsu404">変更別紙!$D$416</definedName>
    <definedName name="shubetsu405">変更別紙!$D$417</definedName>
    <definedName name="shubetsu406">変更別紙!$D$418</definedName>
    <definedName name="shubetsu407">変更別紙!$D$419</definedName>
    <definedName name="shubetsu408">変更別紙!$D$420</definedName>
    <definedName name="shubetsu409">変更別紙!$D$421</definedName>
    <definedName name="shubetsu410">変更別紙!$D$422</definedName>
    <definedName name="shubetsu411">変更別紙!$D$423</definedName>
    <definedName name="shubetsu412">変更別紙!$D$424</definedName>
    <definedName name="shubetsu413">変更別紙!$D$425</definedName>
    <definedName name="shubetsu414">変更別紙!$D$426</definedName>
    <definedName name="shubetsu415">変更別紙!$D$427</definedName>
    <definedName name="shubetsu416">変更別紙!$D$428</definedName>
    <definedName name="shubetsu417">変更別紙!$D$429</definedName>
    <definedName name="shubetsu418">変更別紙!$D$430</definedName>
    <definedName name="shubetsu419">変更別紙!$D$431</definedName>
    <definedName name="shubetsu420">変更別紙!$D$432</definedName>
    <definedName name="shubetsu421">変更別紙!$D$433</definedName>
    <definedName name="shubetsu422">変更別紙!$D$434</definedName>
    <definedName name="shubetsu423">変更別紙!$D$435</definedName>
    <definedName name="shubetsu424">変更別紙!$D$436</definedName>
    <definedName name="shubetsu425">変更別紙!$D$437</definedName>
    <definedName name="shubetsu426">変更別紙!$D$438</definedName>
    <definedName name="shubetsu427">変更別紙!$D$439</definedName>
    <definedName name="shubetsu428">変更別紙!$D$440</definedName>
    <definedName name="shubetsu429">変更別紙!$D$441</definedName>
    <definedName name="shubetsu430">変更別紙!$D$442</definedName>
    <definedName name="shubetsu431">変更別紙!$D$443</definedName>
    <definedName name="shubetsu432">変更別紙!$D$444</definedName>
    <definedName name="shubetsu433">変更別紙!$D$445</definedName>
    <definedName name="shubetsu434">変更別紙!$D$446</definedName>
    <definedName name="shubetsu435">変更別紙!$D$447</definedName>
    <definedName name="shubetsu436">変更別紙!$D$448</definedName>
    <definedName name="shubetsu437">変更別紙!$D$449</definedName>
    <definedName name="shubetsu438">変更別紙!$D$450</definedName>
    <definedName name="shubetsu439">変更別紙!$D$451</definedName>
    <definedName name="shubetsu440">変更別紙!$D$452</definedName>
    <definedName name="shubetsu441">変更別紙!$D$453</definedName>
    <definedName name="shubetsu442">変更別紙!$D$454</definedName>
    <definedName name="shubetsu443">変更別紙!$D$455</definedName>
    <definedName name="shubetsu444">変更別紙!$D$456</definedName>
    <definedName name="shubetsu445">変更別紙!$D$457</definedName>
    <definedName name="shubetsu446">変更別紙!$D$458</definedName>
    <definedName name="shubetsu447">変更別紙!$D$459</definedName>
    <definedName name="shubetsu448">変更別紙!$D$460</definedName>
    <definedName name="shubetsu449">変更別紙!$D$461</definedName>
    <definedName name="shubetsu450">変更別紙!$D$462</definedName>
    <definedName name="shubetsu451">変更別紙!$D$463</definedName>
    <definedName name="shubetsu452">変更別紙!$D$464</definedName>
    <definedName name="shubetsu453">変更別紙!$D$465</definedName>
    <definedName name="shubetsu454">変更別紙!$D$466</definedName>
    <definedName name="shubetsu455">変更別紙!$D$467</definedName>
    <definedName name="shubetsu456">変更別紙!$D$468</definedName>
    <definedName name="shubetsu457">変更別紙!$D$469</definedName>
    <definedName name="shubetsu458">変更別紙!$D$470</definedName>
    <definedName name="shubetsu459">変更別紙!$D$471</definedName>
    <definedName name="shubetsu460">変更別紙!$D$472</definedName>
    <definedName name="shubetsu461">変更別紙!$D$473</definedName>
    <definedName name="shubetsu462">変更別紙!$D$474</definedName>
    <definedName name="shubetsu463">変更別紙!$D$475</definedName>
    <definedName name="shubetsu464">変更別紙!$D$476</definedName>
    <definedName name="shubetsu465">変更別紙!$D$477</definedName>
    <definedName name="shubetsu466">変更別紙!$D$478</definedName>
    <definedName name="shubetsu467">変更別紙!$D$479</definedName>
    <definedName name="shubetsu468">変更別紙!$D$480</definedName>
    <definedName name="shubetsu469">変更別紙!$D$481</definedName>
    <definedName name="shubetsu470">変更別紙!$D$482</definedName>
    <definedName name="shubetsu471">変更別紙!$D$483</definedName>
    <definedName name="shubetsu472">変更別紙!$D$484</definedName>
    <definedName name="shubetsu473">変更別紙!$D$485</definedName>
    <definedName name="shubetsu474">変更別紙!$D$486</definedName>
    <definedName name="shubetsu475">変更別紙!$D$487</definedName>
    <definedName name="shubetsu476">変更別紙!$D$488</definedName>
    <definedName name="shubetsu477">変更別紙!$D$489</definedName>
    <definedName name="shubetsu478">変更別紙!$D$490</definedName>
    <definedName name="shubetsu479">変更別紙!$D$491</definedName>
    <definedName name="shubetsu480">変更別紙!$D$492</definedName>
    <definedName name="shubetsu481">変更別紙!$D$493</definedName>
    <definedName name="shubetsu482">変更別紙!$D$494</definedName>
    <definedName name="shubetsu483">変更別紙!$D$495</definedName>
    <definedName name="shubetsu484">変更別紙!$D$496</definedName>
    <definedName name="shubetsu485">変更別紙!$D$497</definedName>
    <definedName name="shubetsu486">変更別紙!$D$498</definedName>
    <definedName name="shubetsu487">変更別紙!$D$499</definedName>
    <definedName name="shubetsu488">変更別紙!$D$500</definedName>
    <definedName name="shubetsu489">変更別紙!$D$501</definedName>
    <definedName name="shubetsu490">変更別紙!$D$502</definedName>
    <definedName name="shubetsu491">変更別紙!$D$503</definedName>
    <definedName name="shubetsu492">変更別紙!$D$504</definedName>
    <definedName name="shubetsu493">変更別紙!$D$505</definedName>
    <definedName name="shubetsu494">変更別紙!$D$506</definedName>
    <definedName name="shubetsu495">変更別紙!$D$507</definedName>
    <definedName name="shubetsu496">変更別紙!$D$508</definedName>
    <definedName name="shubetsu497">変更別紙!$D$509</definedName>
    <definedName name="shubetsu498">変更別紙!$D$510</definedName>
    <definedName name="shubetsu499">変更別紙!$D$511</definedName>
    <definedName name="shubetsu500">変更別紙!$D$512</definedName>
    <definedName name="shutoku001">変更別紙!$M$13</definedName>
    <definedName name="shutoku002">変更別紙!$M$14</definedName>
    <definedName name="shutoku003">変更別紙!$M$15</definedName>
    <definedName name="shutoku004">変更別紙!$M$16</definedName>
    <definedName name="shutoku005">変更別紙!$M$17</definedName>
    <definedName name="shutoku006">変更別紙!$M$18</definedName>
    <definedName name="shutoku007">変更別紙!$M$19</definedName>
    <definedName name="shutoku008">変更別紙!$M$20</definedName>
    <definedName name="shutoku009">変更別紙!$M$21</definedName>
    <definedName name="shutoku010">変更別紙!$M$22</definedName>
    <definedName name="shutoku011">変更別紙!$M$23</definedName>
    <definedName name="shutoku012">変更別紙!$M$24</definedName>
    <definedName name="shutoku013">変更別紙!$M$25</definedName>
    <definedName name="shutoku014">変更別紙!$M$26</definedName>
    <definedName name="shutoku015">変更別紙!$M$27</definedName>
    <definedName name="shutoku016">変更別紙!$M$28</definedName>
    <definedName name="shutoku017">変更別紙!$M$29</definedName>
    <definedName name="shutoku018">変更別紙!$M$30</definedName>
    <definedName name="shutoku019">変更別紙!$M$31</definedName>
    <definedName name="shutoku020">変更別紙!$M$32</definedName>
    <definedName name="shutoku021">変更別紙!$M$33</definedName>
    <definedName name="shutoku022">変更別紙!$M$34</definedName>
    <definedName name="shutoku023">変更別紙!$M$35</definedName>
    <definedName name="shutoku024">変更別紙!$M$36</definedName>
    <definedName name="shutoku025">変更別紙!$M$37</definedName>
    <definedName name="shutoku026">変更別紙!$M$38</definedName>
    <definedName name="shutoku027">変更別紙!$M$39</definedName>
    <definedName name="shutoku028">変更別紙!$M$40</definedName>
    <definedName name="shutoku029">変更別紙!$M$41</definedName>
    <definedName name="shutoku030">変更別紙!$M$42</definedName>
    <definedName name="shutoku031">変更別紙!$M$43</definedName>
    <definedName name="shutoku032">変更別紙!$M$44</definedName>
    <definedName name="shutoku033">変更別紙!$M$45</definedName>
    <definedName name="shutoku034">変更別紙!$M$46</definedName>
    <definedName name="shutoku035">変更別紙!$M$47</definedName>
    <definedName name="shutoku036">変更別紙!$M$48</definedName>
    <definedName name="shutoku037">変更別紙!$M$49</definedName>
    <definedName name="shutoku038">変更別紙!$M$50</definedName>
    <definedName name="shutoku039">変更別紙!$M$51</definedName>
    <definedName name="shutoku040">変更別紙!$M$52</definedName>
    <definedName name="shutoku041">変更別紙!$M$53</definedName>
    <definedName name="shutoku042">変更別紙!$M$54</definedName>
    <definedName name="shutoku043">変更別紙!$M$55</definedName>
    <definedName name="shutoku044">変更別紙!$M$56</definedName>
    <definedName name="shutoku045">変更別紙!$M$57</definedName>
    <definedName name="shutoku046">変更別紙!$M$58</definedName>
    <definedName name="shutoku047">変更別紙!$M$59</definedName>
    <definedName name="shutoku048">変更別紙!$M$60</definedName>
    <definedName name="shutoku049">変更別紙!$M$61</definedName>
    <definedName name="shutoku050">変更別紙!$M$62</definedName>
    <definedName name="shutoku051">変更別紙!$M$63</definedName>
    <definedName name="shutoku052">変更別紙!$M$64</definedName>
    <definedName name="shutoku053">変更別紙!$M$65</definedName>
    <definedName name="shutoku054">変更別紙!$M$66</definedName>
    <definedName name="shutoku055">変更別紙!$M$67</definedName>
    <definedName name="shutoku056">変更別紙!$M$68</definedName>
    <definedName name="shutoku057">変更別紙!$M$69</definedName>
    <definedName name="shutoku058">変更別紙!$M$70</definedName>
    <definedName name="shutoku059">変更別紙!$M$71</definedName>
    <definedName name="shutoku060">変更別紙!$M$72</definedName>
    <definedName name="shutoku061">変更別紙!$M$73</definedName>
    <definedName name="shutoku062">変更別紙!$M$74</definedName>
    <definedName name="shutoku063">変更別紙!$M$75</definedName>
    <definedName name="shutoku064">変更別紙!$M$76</definedName>
    <definedName name="shutoku065">変更別紙!$M$77</definedName>
    <definedName name="shutoku066">変更別紙!$M$78</definedName>
    <definedName name="shutoku067">変更別紙!$M$79</definedName>
    <definedName name="shutoku068">変更別紙!$M$80</definedName>
    <definedName name="shutoku069">変更別紙!$M$81</definedName>
    <definedName name="shutoku070">変更別紙!$M$82</definedName>
    <definedName name="shutoku071">変更別紙!$M$83</definedName>
    <definedName name="shutoku072">変更別紙!$M$84</definedName>
    <definedName name="shutoku073">変更別紙!$M$85</definedName>
    <definedName name="shutoku074">変更別紙!$M$86</definedName>
    <definedName name="shutoku075">変更別紙!$M$87</definedName>
    <definedName name="shutoku076">変更別紙!$M$88</definedName>
    <definedName name="shutoku077">変更別紙!$M$89</definedName>
    <definedName name="shutoku078">変更別紙!$M$90</definedName>
    <definedName name="shutoku079">変更別紙!$M$91</definedName>
    <definedName name="shutoku080">変更別紙!$M$92</definedName>
    <definedName name="shutoku081">変更別紙!$M$93</definedName>
    <definedName name="shutoku082">変更別紙!$M$94</definedName>
    <definedName name="shutoku083">変更別紙!$M$95</definedName>
    <definedName name="shutoku084">変更別紙!$M$96</definedName>
    <definedName name="shutoku085">変更別紙!$M$97</definedName>
    <definedName name="shutoku086">変更別紙!$M$98</definedName>
    <definedName name="shutoku087">変更別紙!$M$99</definedName>
    <definedName name="shutoku088">変更別紙!$M$100</definedName>
    <definedName name="shutoku089">変更別紙!$M$101</definedName>
    <definedName name="shutoku090">変更別紙!$M$102</definedName>
    <definedName name="shutoku091">変更別紙!$M$103</definedName>
    <definedName name="shutoku092">変更別紙!$M$104</definedName>
    <definedName name="shutoku093">変更別紙!$M$105</definedName>
    <definedName name="shutoku094">変更別紙!$M$106</definedName>
    <definedName name="shutoku095">変更別紙!$M$107</definedName>
    <definedName name="shutoku096">変更別紙!$M$108</definedName>
    <definedName name="shutoku097">変更別紙!$M$109</definedName>
    <definedName name="shutoku098">変更別紙!$M$110</definedName>
    <definedName name="shutoku099">変更別紙!$M$111</definedName>
    <definedName name="shutoku100">変更別紙!$M$112</definedName>
    <definedName name="shutoku101">変更別紙!$M$113</definedName>
    <definedName name="shutoku102">変更別紙!$M$114</definedName>
    <definedName name="shutoku103">変更別紙!$M$115</definedName>
    <definedName name="shutoku104">変更別紙!$M$116</definedName>
    <definedName name="shutoku105">変更別紙!$M$117</definedName>
    <definedName name="shutoku106">変更別紙!$M$118</definedName>
    <definedName name="shutoku107">変更別紙!$M$119</definedName>
    <definedName name="shutoku108">変更別紙!$M$120</definedName>
    <definedName name="shutoku109">変更別紙!$M$121</definedName>
    <definedName name="shutoku110">変更別紙!$M$122</definedName>
    <definedName name="shutoku111">変更別紙!$M$123</definedName>
    <definedName name="shutoku112">変更別紙!$M$124</definedName>
    <definedName name="shutoku113">変更別紙!$M$125</definedName>
    <definedName name="shutoku114">変更別紙!$M$126</definedName>
    <definedName name="shutoku115">変更別紙!$M$127</definedName>
    <definedName name="shutoku116">変更別紙!$M$128</definedName>
    <definedName name="shutoku117">変更別紙!$M$129</definedName>
    <definedName name="shutoku118">変更別紙!$M$130</definedName>
    <definedName name="shutoku119">変更別紙!$M$131</definedName>
    <definedName name="shutoku120">変更別紙!$M$132</definedName>
    <definedName name="shutoku121">変更別紙!$M$133</definedName>
    <definedName name="shutoku122">変更別紙!$M$134</definedName>
    <definedName name="shutoku123">変更別紙!$M$135</definedName>
    <definedName name="shutoku124">変更別紙!$M$136</definedName>
    <definedName name="shutoku125">変更別紙!$M$137</definedName>
    <definedName name="shutoku126">変更別紙!$M$138</definedName>
    <definedName name="shutoku127">変更別紙!$M$139</definedName>
    <definedName name="shutoku128">変更別紙!$M$140</definedName>
    <definedName name="shutoku129">変更別紙!$M$141</definedName>
    <definedName name="shutoku130">変更別紙!$M$142</definedName>
    <definedName name="shutoku131">変更別紙!$M$143</definedName>
    <definedName name="shutoku132">変更別紙!$M$144</definedName>
    <definedName name="shutoku133">変更別紙!$M$145</definedName>
    <definedName name="shutoku134">変更別紙!$M$146</definedName>
    <definedName name="shutoku135">変更別紙!$M$147</definedName>
    <definedName name="shutoku136">変更別紙!$M$148</definedName>
    <definedName name="shutoku137">変更別紙!$M$149</definedName>
    <definedName name="shutoku138">変更別紙!$M$150</definedName>
    <definedName name="shutoku139">変更別紙!$M$151</definedName>
    <definedName name="shutoku140">変更別紙!$M$152</definedName>
    <definedName name="shutoku141">変更別紙!$M$153</definedName>
    <definedName name="shutoku142">変更別紙!$M$154</definedName>
    <definedName name="shutoku143">変更別紙!$M$155</definedName>
    <definedName name="shutoku144">変更別紙!$M$156</definedName>
    <definedName name="shutoku145">変更別紙!$M$157</definedName>
    <definedName name="shutoku146">変更別紙!$M$158</definedName>
    <definedName name="shutoku147">変更別紙!$M$159</definedName>
    <definedName name="shutoku148">変更別紙!$M$160</definedName>
    <definedName name="shutoku149">変更別紙!$M$161</definedName>
    <definedName name="shutoku150">変更別紙!$M$162</definedName>
    <definedName name="shutoku151">変更別紙!$M$163</definedName>
    <definedName name="shutoku152">変更別紙!$M$164</definedName>
    <definedName name="shutoku153">変更別紙!$M$165</definedName>
    <definedName name="shutoku154">変更別紙!$M$166</definedName>
    <definedName name="shutoku155">変更別紙!$M$167</definedName>
    <definedName name="shutoku156">変更別紙!$M$168</definedName>
    <definedName name="shutoku157">変更別紙!$M$169</definedName>
    <definedName name="shutoku158">変更別紙!$M$170</definedName>
    <definedName name="shutoku159">変更別紙!$M$171</definedName>
    <definedName name="shutoku160">変更別紙!$M$172</definedName>
    <definedName name="shutoku161">変更別紙!$M$173</definedName>
    <definedName name="shutoku162">変更別紙!$M$174</definedName>
    <definedName name="shutoku163">変更別紙!$M$175</definedName>
    <definedName name="shutoku164">変更別紙!$M$176</definedName>
    <definedName name="shutoku165">変更別紙!$M$177</definedName>
    <definedName name="shutoku166">変更別紙!$M$178</definedName>
    <definedName name="shutoku167">変更別紙!$M$179</definedName>
    <definedName name="shutoku168">変更別紙!$M$180</definedName>
    <definedName name="shutoku169">変更別紙!$M$181</definedName>
    <definedName name="shutoku170">変更別紙!$M$182</definedName>
    <definedName name="shutoku171">変更別紙!$M$183</definedName>
    <definedName name="shutoku172">変更別紙!$M$184</definedName>
    <definedName name="shutoku173">変更別紙!$M$185</definedName>
    <definedName name="shutoku174">変更別紙!$M$186</definedName>
    <definedName name="shutoku175">変更別紙!$M$187</definedName>
    <definedName name="shutoku176">変更別紙!$M$188</definedName>
    <definedName name="shutoku177">変更別紙!$M$189</definedName>
    <definedName name="shutoku178">変更別紙!$M$190</definedName>
    <definedName name="shutoku179">変更別紙!$M$191</definedName>
    <definedName name="shutoku180">変更別紙!$M$192</definedName>
    <definedName name="shutoku181">変更別紙!$M$193</definedName>
    <definedName name="shutoku182">変更別紙!$M$194</definedName>
    <definedName name="shutoku183">変更別紙!$M$195</definedName>
    <definedName name="shutoku184">変更別紙!$M$196</definedName>
    <definedName name="shutoku185">変更別紙!$M$197</definedName>
    <definedName name="shutoku186">変更別紙!$M$198</definedName>
    <definedName name="shutoku187">変更別紙!$M$199</definedName>
    <definedName name="shutoku188">変更別紙!$M$200</definedName>
    <definedName name="shutoku189">変更別紙!$M$201</definedName>
    <definedName name="shutoku190">変更別紙!$M$202</definedName>
    <definedName name="shutoku191">変更別紙!$M$203</definedName>
    <definedName name="shutoku192">変更別紙!$M$204</definedName>
    <definedName name="shutoku193">変更別紙!$M$205</definedName>
    <definedName name="shutoku194">変更別紙!$M$206</definedName>
    <definedName name="shutoku195">変更別紙!$M$207</definedName>
    <definedName name="shutoku196">変更別紙!$M$208</definedName>
    <definedName name="shutoku197">変更別紙!$M$209</definedName>
    <definedName name="shutoku198">変更別紙!$M$210</definedName>
    <definedName name="shutoku199">変更別紙!$M$211</definedName>
    <definedName name="shutoku200">変更別紙!$M$212</definedName>
    <definedName name="shutoku201">変更別紙!$M$213</definedName>
    <definedName name="shutoku202">変更別紙!$M$214</definedName>
    <definedName name="shutoku203">変更別紙!$M$215</definedName>
    <definedName name="shutoku204">変更別紙!$M$216</definedName>
    <definedName name="shutoku205">変更別紙!$M$217</definedName>
    <definedName name="shutoku206">変更別紙!$M$218</definedName>
    <definedName name="shutoku207">変更別紙!$M$219</definedName>
    <definedName name="shutoku208">変更別紙!$M$220</definedName>
    <definedName name="shutoku209">変更別紙!$M$221</definedName>
    <definedName name="shutoku210">変更別紙!$M$222</definedName>
    <definedName name="shutoku211">変更別紙!$M$223</definedName>
    <definedName name="shutoku212">変更別紙!$M$224</definedName>
    <definedName name="shutoku213">変更別紙!$M$225</definedName>
    <definedName name="shutoku214">変更別紙!$M$226</definedName>
    <definedName name="shutoku215">変更別紙!$M$227</definedName>
    <definedName name="shutoku216">変更別紙!$M$228</definedName>
    <definedName name="shutoku217">変更別紙!$M$229</definedName>
    <definedName name="shutoku218">変更別紙!$M$230</definedName>
    <definedName name="shutoku219">変更別紙!$M$231</definedName>
    <definedName name="shutoku220">変更別紙!$M$232</definedName>
    <definedName name="shutoku221">変更別紙!$M$233</definedName>
    <definedName name="shutoku222">変更別紙!$M$234</definedName>
    <definedName name="shutoku223">変更別紙!$M$235</definedName>
    <definedName name="shutoku224">変更別紙!$M$236</definedName>
    <definedName name="shutoku225">変更別紙!$M$237</definedName>
    <definedName name="shutoku226">変更別紙!$M$238</definedName>
    <definedName name="shutoku227">変更別紙!$M$239</definedName>
    <definedName name="shutoku228">変更別紙!$M$240</definedName>
    <definedName name="shutoku229">変更別紙!$M$241</definedName>
    <definedName name="shutoku230">変更別紙!$M$242</definedName>
    <definedName name="shutoku231">変更別紙!$M$243</definedName>
    <definedName name="shutoku232">変更別紙!$M$244</definedName>
    <definedName name="shutoku233">変更別紙!$M$245</definedName>
    <definedName name="shutoku234">変更別紙!$M$246</definedName>
    <definedName name="shutoku235">変更別紙!$M$247</definedName>
    <definedName name="shutoku236">変更別紙!$M$248</definedName>
    <definedName name="shutoku237">変更別紙!$M$249</definedName>
    <definedName name="shutoku238">変更別紙!$M$250</definedName>
    <definedName name="shutoku239">変更別紙!$M$251</definedName>
    <definedName name="shutoku240">変更別紙!$M$252</definedName>
    <definedName name="shutoku241">変更別紙!$M$253</definedName>
    <definedName name="shutoku242">変更別紙!$M$254</definedName>
    <definedName name="shutoku243">変更別紙!$M$255</definedName>
    <definedName name="shutoku244">変更別紙!$M$256</definedName>
    <definedName name="shutoku245">変更別紙!$M$257</definedName>
    <definedName name="shutoku246">変更別紙!$M$258</definedName>
    <definedName name="shutoku247">変更別紙!$M$259</definedName>
    <definedName name="shutoku248">変更別紙!$M$260</definedName>
    <definedName name="shutoku249">変更別紙!$M$261</definedName>
    <definedName name="shutoku250">変更別紙!$M$262</definedName>
    <definedName name="shutoku251">変更別紙!$M$263</definedName>
    <definedName name="shutoku252">変更別紙!$M$264</definedName>
    <definedName name="shutoku253">変更別紙!$M$265</definedName>
    <definedName name="shutoku254">変更別紙!$M$266</definedName>
    <definedName name="shutoku255">変更別紙!$M$267</definedName>
    <definedName name="shutoku256">変更別紙!$M$268</definedName>
    <definedName name="shutoku257">変更別紙!$M$269</definedName>
    <definedName name="shutoku258">変更別紙!$M$270</definedName>
    <definedName name="shutoku259">変更別紙!$M$271</definedName>
    <definedName name="shutoku260">変更別紙!$M$272</definedName>
    <definedName name="shutoku261">変更別紙!$M$273</definedName>
    <definedName name="shutoku262">変更別紙!$M$274</definedName>
    <definedName name="shutoku263">変更別紙!$M$275</definedName>
    <definedName name="shutoku264">変更別紙!$M$276</definedName>
    <definedName name="shutoku265">変更別紙!$M$277</definedName>
    <definedName name="shutoku266">変更別紙!$M$278</definedName>
    <definedName name="shutoku267">変更別紙!$M$279</definedName>
    <definedName name="shutoku268">変更別紙!$M$280</definedName>
    <definedName name="shutoku269">変更別紙!$M$281</definedName>
    <definedName name="shutoku270">変更別紙!$M$282</definedName>
    <definedName name="shutoku271">変更別紙!$M$283</definedName>
    <definedName name="shutoku272">変更別紙!$M$284</definedName>
    <definedName name="shutoku273">変更別紙!$M$285</definedName>
    <definedName name="shutoku274">変更別紙!$M$286</definedName>
    <definedName name="shutoku275">変更別紙!$M$287</definedName>
    <definedName name="shutoku276">変更別紙!$M$288</definedName>
    <definedName name="shutoku277">変更別紙!$M$289</definedName>
    <definedName name="shutoku278">変更別紙!$M$290</definedName>
    <definedName name="shutoku279">変更別紙!$M$291</definedName>
    <definedName name="shutoku280">変更別紙!$M$292</definedName>
    <definedName name="shutoku281">変更別紙!$M$293</definedName>
    <definedName name="shutoku282">変更別紙!$M$294</definedName>
    <definedName name="shutoku283">変更別紙!$M$295</definedName>
    <definedName name="shutoku284">変更別紙!$M$296</definedName>
    <definedName name="shutoku285">変更別紙!$M$297</definedName>
    <definedName name="shutoku286">変更別紙!$M$298</definedName>
    <definedName name="shutoku287">変更別紙!$M$299</definedName>
    <definedName name="shutoku288">変更別紙!$M$300</definedName>
    <definedName name="shutoku289">変更別紙!$M$301</definedName>
    <definedName name="shutoku290">変更別紙!$M$302</definedName>
    <definedName name="shutoku291">変更別紙!$M$303</definedName>
    <definedName name="shutoku292">変更別紙!$M$304</definedName>
    <definedName name="shutoku293">変更別紙!$M$305</definedName>
    <definedName name="shutoku294">変更別紙!$M$306</definedName>
    <definedName name="shutoku295">変更別紙!$M$307</definedName>
    <definedName name="shutoku296">変更別紙!$M$308</definedName>
    <definedName name="shutoku297">変更別紙!$M$309</definedName>
    <definedName name="shutoku298">変更別紙!$M$310</definedName>
    <definedName name="shutoku299">変更別紙!$M$311</definedName>
    <definedName name="shutoku300">変更別紙!$M$312</definedName>
    <definedName name="shutoku301">変更別紙!$M$313</definedName>
    <definedName name="shutoku302">変更別紙!$M$314</definedName>
    <definedName name="shutoku303">変更別紙!$M$315</definedName>
    <definedName name="shutoku304">変更別紙!$M$316</definedName>
    <definedName name="shutoku305">変更別紙!$M$317</definedName>
    <definedName name="shutoku306">変更別紙!$M$318</definedName>
    <definedName name="shutoku307">変更別紙!$M$319</definedName>
    <definedName name="shutoku308">変更別紙!$M$320</definedName>
    <definedName name="shutoku309">変更別紙!$M$321</definedName>
    <definedName name="shutoku310">変更別紙!$M$322</definedName>
    <definedName name="shutoku311">変更別紙!$M$323</definedName>
    <definedName name="shutoku312">変更別紙!$M$324</definedName>
    <definedName name="shutoku313">変更別紙!$M$325</definedName>
    <definedName name="shutoku314">変更別紙!$M$326</definedName>
    <definedName name="shutoku315">変更別紙!$M$327</definedName>
    <definedName name="shutoku316">変更別紙!$M$328</definedName>
    <definedName name="shutoku317">変更別紙!$M$329</definedName>
    <definedName name="shutoku318">変更別紙!$M$330</definedName>
    <definedName name="shutoku319">変更別紙!$M$331</definedName>
    <definedName name="shutoku320">変更別紙!$M$332</definedName>
    <definedName name="shutoku321">変更別紙!$M$333</definedName>
    <definedName name="shutoku322">変更別紙!$M$334</definedName>
    <definedName name="shutoku323">変更別紙!$M$335</definedName>
    <definedName name="shutoku324">変更別紙!$M$336</definedName>
    <definedName name="shutoku325">変更別紙!$M$337</definedName>
    <definedName name="shutoku326">変更別紙!$M$338</definedName>
    <definedName name="shutoku327">変更別紙!$M$339</definedName>
    <definedName name="shutoku328">変更別紙!$M$340</definedName>
    <definedName name="shutoku329">変更別紙!$M$341</definedName>
    <definedName name="shutoku330">変更別紙!$M$342</definedName>
    <definedName name="shutoku331">変更別紙!$M$343</definedName>
    <definedName name="shutoku332">変更別紙!$M$344</definedName>
    <definedName name="shutoku333">変更別紙!$M$345</definedName>
    <definedName name="shutoku334">変更別紙!$M$346</definedName>
    <definedName name="shutoku335">変更別紙!$M$347</definedName>
    <definedName name="shutoku336">変更別紙!$M$348</definedName>
    <definedName name="shutoku337">変更別紙!$M$349</definedName>
    <definedName name="shutoku338">変更別紙!$M$350</definedName>
    <definedName name="shutoku339">変更別紙!$M$351</definedName>
    <definedName name="shutoku340">変更別紙!$M$352</definedName>
    <definedName name="shutoku341">変更別紙!$M$353</definedName>
    <definedName name="shutoku342">変更別紙!$M$354</definedName>
    <definedName name="shutoku343">変更別紙!$M$355</definedName>
    <definedName name="shutoku344">変更別紙!$M$356</definedName>
    <definedName name="shutoku345">変更別紙!$M$357</definedName>
    <definedName name="shutoku346">変更別紙!$M$358</definedName>
    <definedName name="shutoku347">変更別紙!$M$359</definedName>
    <definedName name="shutoku348">変更別紙!$M$360</definedName>
    <definedName name="shutoku349">変更別紙!$M$361</definedName>
    <definedName name="shutoku350">変更別紙!$M$362</definedName>
    <definedName name="shutoku351">変更別紙!$M$363</definedName>
    <definedName name="shutoku352">変更別紙!$M$364</definedName>
    <definedName name="shutoku353">変更別紙!$M$365</definedName>
    <definedName name="shutoku354">変更別紙!$M$366</definedName>
    <definedName name="shutoku355">変更別紙!$M$367</definedName>
    <definedName name="shutoku356">変更別紙!$M$368</definedName>
    <definedName name="shutoku357">変更別紙!$M$369</definedName>
    <definedName name="shutoku358">変更別紙!$M$370</definedName>
    <definedName name="shutoku359">変更別紙!$M$371</definedName>
    <definedName name="shutoku360">変更別紙!$M$372</definedName>
    <definedName name="shutoku361">変更別紙!$M$373</definedName>
    <definedName name="shutoku362">変更別紙!$M$374</definedName>
    <definedName name="shutoku363">変更別紙!$M$375</definedName>
    <definedName name="shutoku364">変更別紙!$M$376</definedName>
    <definedName name="shutoku365">変更別紙!$M$377</definedName>
    <definedName name="shutoku366">変更別紙!$M$378</definedName>
    <definedName name="shutoku367">変更別紙!$M$379</definedName>
    <definedName name="shutoku368">変更別紙!$M$380</definedName>
    <definedName name="shutoku369">変更別紙!$M$381</definedName>
    <definedName name="shutoku370">変更別紙!$M$382</definedName>
    <definedName name="shutoku371">変更別紙!$M$383</definedName>
    <definedName name="shutoku372">変更別紙!$M$384</definedName>
    <definedName name="shutoku373">変更別紙!$M$385</definedName>
    <definedName name="shutoku374">変更別紙!$M$386</definedName>
    <definedName name="shutoku375">変更別紙!$M$387</definedName>
    <definedName name="shutoku376">変更別紙!$M$388</definedName>
    <definedName name="shutoku377">変更別紙!$M$389</definedName>
    <definedName name="shutoku378">変更別紙!$M$390</definedName>
    <definedName name="shutoku379">変更別紙!$M$391</definedName>
    <definedName name="shutoku380">変更別紙!$M$392</definedName>
    <definedName name="shutoku381">変更別紙!$M$393</definedName>
    <definedName name="shutoku382">変更別紙!$M$394</definedName>
    <definedName name="shutoku383">変更別紙!$M$395</definedName>
    <definedName name="shutoku384">変更別紙!$M$396</definedName>
    <definedName name="shutoku385">変更別紙!$M$397</definedName>
    <definedName name="shutoku386">変更別紙!$M$398</definedName>
    <definedName name="shutoku387">変更別紙!$M$399</definedName>
    <definedName name="shutoku388">変更別紙!$M$400</definedName>
    <definedName name="shutoku389">変更別紙!$M$401</definedName>
    <definedName name="shutoku390">変更別紙!$M$402</definedName>
    <definedName name="shutoku391">変更別紙!$M$403</definedName>
    <definedName name="shutoku392">変更別紙!$M$404</definedName>
    <definedName name="shutoku393">変更別紙!$M$405</definedName>
    <definedName name="shutoku394">変更別紙!$M$406</definedName>
    <definedName name="shutoku395">変更別紙!$M$407</definedName>
    <definedName name="shutoku396">変更別紙!$M$408</definedName>
    <definedName name="shutoku397">変更別紙!$M$409</definedName>
    <definedName name="shutoku398">変更別紙!$M$410</definedName>
    <definedName name="shutoku399">変更別紙!$M$411</definedName>
    <definedName name="shutoku400">変更別紙!$M$412</definedName>
    <definedName name="shutoku401">変更別紙!$M$413</definedName>
    <definedName name="shutoku402">変更別紙!$M$414</definedName>
    <definedName name="shutoku403">変更別紙!$M$415</definedName>
    <definedName name="shutoku404">変更別紙!$M$416</definedName>
    <definedName name="shutoku405">変更別紙!$M$417</definedName>
    <definedName name="shutoku406">変更別紙!$M$418</definedName>
    <definedName name="shutoku407">変更別紙!$M$419</definedName>
    <definedName name="shutoku408">変更別紙!$M$420</definedName>
    <definedName name="shutoku409">変更別紙!$M$421</definedName>
    <definedName name="shutoku410">変更別紙!$M$422</definedName>
    <definedName name="shutoku411">変更別紙!$M$423</definedName>
    <definedName name="shutoku412">変更別紙!$M$424</definedName>
    <definedName name="shutoku413">変更別紙!$M$425</definedName>
    <definedName name="shutoku414">変更別紙!$M$426</definedName>
    <definedName name="shutoku415">変更別紙!$M$427</definedName>
    <definedName name="shutoku416">変更別紙!$M$428</definedName>
    <definedName name="shutoku417">変更別紙!$M$429</definedName>
    <definedName name="shutoku418">変更別紙!$M$430</definedName>
    <definedName name="shutoku419">変更別紙!$M$431</definedName>
    <definedName name="shutoku420">変更別紙!$M$432</definedName>
    <definedName name="shutoku421">変更別紙!$M$433</definedName>
    <definedName name="shutoku422">変更別紙!$M$434</definedName>
    <definedName name="shutoku423">変更別紙!$M$435</definedName>
    <definedName name="shutoku424">変更別紙!$M$436</definedName>
    <definedName name="shutoku425">変更別紙!$M$437</definedName>
    <definedName name="shutoku426">変更別紙!$M$438</definedName>
    <definedName name="shutoku427">変更別紙!$M$439</definedName>
    <definedName name="shutoku428">変更別紙!$M$440</definedName>
    <definedName name="shutoku429">変更別紙!$M$441</definedName>
    <definedName name="shutoku430">変更別紙!$M$442</definedName>
    <definedName name="shutoku431">変更別紙!$M$443</definedName>
    <definedName name="shutoku432">変更別紙!$M$444</definedName>
    <definedName name="shutoku433">変更別紙!$M$445</definedName>
    <definedName name="shutoku434">変更別紙!$M$446</definedName>
    <definedName name="shutoku435">変更別紙!$M$447</definedName>
    <definedName name="shutoku436">変更別紙!$M$448</definedName>
    <definedName name="shutoku437">変更別紙!$M$449</definedName>
    <definedName name="shutoku438">変更別紙!$M$450</definedName>
    <definedName name="shutoku439">変更別紙!$M$451</definedName>
    <definedName name="shutoku440">変更別紙!$M$452</definedName>
    <definedName name="shutoku441">変更別紙!$M$453</definedName>
    <definedName name="shutoku442">変更別紙!$M$454</definedName>
    <definedName name="shutoku443">変更別紙!$M$455</definedName>
    <definedName name="shutoku444">変更別紙!$M$456</definedName>
    <definedName name="shutoku445">変更別紙!$M$457</definedName>
    <definedName name="shutoku446">変更別紙!$M$458</definedName>
    <definedName name="shutoku447">変更別紙!$M$459</definedName>
    <definedName name="shutoku448">変更別紙!$M$460</definedName>
    <definedName name="shutoku449">変更別紙!$M$461</definedName>
    <definedName name="shutoku450">変更別紙!$M$462</definedName>
    <definedName name="shutoku451">変更別紙!$M$463</definedName>
    <definedName name="shutoku452">変更別紙!$M$464</definedName>
    <definedName name="shutoku453">変更別紙!$M$465</definedName>
    <definedName name="shutoku454">変更別紙!$M$466</definedName>
    <definedName name="shutoku455">変更別紙!$M$467</definedName>
    <definedName name="shutoku456">変更別紙!$M$468</definedName>
    <definedName name="shutoku457">変更別紙!$M$469</definedName>
    <definedName name="shutoku458">変更別紙!$M$470</definedName>
    <definedName name="shutoku459">変更別紙!$M$471</definedName>
    <definedName name="shutoku460">変更別紙!$M$472</definedName>
    <definedName name="shutoku461">変更別紙!$M$473</definedName>
    <definedName name="shutoku462">変更別紙!$M$474</definedName>
    <definedName name="shutoku463">変更別紙!$M$475</definedName>
    <definedName name="shutoku464">変更別紙!$M$476</definedName>
    <definedName name="shutoku465">変更別紙!$M$477</definedName>
    <definedName name="shutoku466">変更別紙!$M$478</definedName>
    <definedName name="shutoku467">変更別紙!$M$479</definedName>
    <definedName name="shutoku468">変更別紙!$M$480</definedName>
    <definedName name="shutoku469">変更別紙!$M$481</definedName>
    <definedName name="shutoku470">変更別紙!$M$482</definedName>
    <definedName name="shutoku471">変更別紙!$M$483</definedName>
    <definedName name="shutoku472">変更別紙!$M$484</definedName>
    <definedName name="shutoku473">変更別紙!$M$485</definedName>
    <definedName name="shutoku474">変更別紙!$M$486</definedName>
    <definedName name="shutoku475">変更別紙!$M$487</definedName>
    <definedName name="shutoku476">変更別紙!$M$488</definedName>
    <definedName name="shutoku477">変更別紙!$M$489</definedName>
    <definedName name="shutoku478">変更別紙!$M$490</definedName>
    <definedName name="shutoku479">変更別紙!$M$491</definedName>
    <definedName name="shutoku480">変更別紙!$M$492</definedName>
    <definedName name="shutoku481">変更別紙!$M$493</definedName>
    <definedName name="shutoku482">変更別紙!$M$494</definedName>
    <definedName name="shutoku483">変更別紙!$M$495</definedName>
    <definedName name="shutoku484">変更別紙!$M$496</definedName>
    <definedName name="shutoku485">変更別紙!$M$497</definedName>
    <definedName name="shutoku486">変更別紙!$M$498</definedName>
    <definedName name="shutoku487">変更別紙!$M$499</definedName>
    <definedName name="shutoku488">変更別紙!$M$500</definedName>
    <definedName name="shutoku489">変更別紙!$M$501</definedName>
    <definedName name="shutoku490">変更別紙!$M$502</definedName>
    <definedName name="shutoku491">変更別紙!$M$503</definedName>
    <definedName name="shutoku492">変更別紙!$M$504</definedName>
    <definedName name="shutoku493">変更別紙!$M$505</definedName>
    <definedName name="shutoku494">変更別紙!$M$506</definedName>
    <definedName name="shutoku495">変更別紙!$M$507</definedName>
    <definedName name="shutoku496">変更別紙!$M$508</definedName>
    <definedName name="shutoku497">変更別紙!$M$509</definedName>
    <definedName name="shutoku498">変更別紙!$M$510</definedName>
    <definedName name="shutoku499">変更別紙!$M$511</definedName>
    <definedName name="shutoku500">変更別紙!$M$512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3" i="2" l="1"/>
  <c r="Y2" i="2"/>
  <c r="Y1" i="2"/>
  <c r="B9" i="2"/>
  <c r="M9" i="2"/>
  <c r="K9" i="2"/>
  <c r="I9" i="2"/>
  <c r="H9" i="2"/>
  <c r="G9" i="2"/>
  <c r="D9" i="2"/>
  <c r="F9" i="2"/>
  <c r="L27"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J9" i="2" a="1"/>
  <c r="C9" i="2" a="1"/>
  <c r="L9" i="2" a="1"/>
  <c r="L9" i="2" l="1"/>
  <c r="J9" i="2"/>
  <c r="C9" i="2"/>
  <c r="X9" i="2"/>
  <c r="W9" i="2"/>
  <c r="V9" i="2"/>
  <c r="U9" i="2"/>
  <c r="T9"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73" i="2"/>
  <c r="G274" i="2"/>
  <c r="G275" i="2"/>
  <c r="G276" i="2"/>
  <c r="G277" i="2"/>
  <c r="G278" i="2"/>
  <c r="G279" i="2"/>
  <c r="G280" i="2"/>
  <c r="G281" i="2"/>
  <c r="G282" i="2"/>
  <c r="G283" i="2"/>
  <c r="G284" i="2"/>
  <c r="G285" i="2"/>
  <c r="G286" i="2"/>
  <c r="G287" i="2"/>
  <c r="G288" i="2"/>
  <c r="G289" i="2"/>
  <c r="G290" i="2"/>
  <c r="G291" i="2"/>
  <c r="G292" i="2"/>
  <c r="G293" i="2"/>
  <c r="G294" i="2"/>
  <c r="G295" i="2"/>
  <c r="G296" i="2"/>
  <c r="G297" i="2"/>
  <c r="G298" i="2"/>
  <c r="G299" i="2"/>
  <c r="G300" i="2"/>
  <c r="G301" i="2"/>
  <c r="G302" i="2"/>
  <c r="G303" i="2"/>
  <c r="G304" i="2"/>
  <c r="G305" i="2"/>
  <c r="G306" i="2"/>
  <c r="G307" i="2"/>
  <c r="G308" i="2"/>
  <c r="G309" i="2"/>
  <c r="G310" i="2"/>
  <c r="G311" i="2"/>
  <c r="G312" i="2"/>
  <c r="G313" i="2"/>
  <c r="G314" i="2"/>
  <c r="G315" i="2"/>
  <c r="G316" i="2"/>
  <c r="G317" i="2"/>
  <c r="G318" i="2"/>
  <c r="G319" i="2"/>
  <c r="G320" i="2"/>
  <c r="G321" i="2"/>
  <c r="G322" i="2"/>
  <c r="G323" i="2"/>
  <c r="G324" i="2"/>
  <c r="G325" i="2"/>
  <c r="G326" i="2"/>
  <c r="G327" i="2"/>
  <c r="G328" i="2"/>
  <c r="G329" i="2"/>
  <c r="G330" i="2"/>
  <c r="G331" i="2"/>
  <c r="G332" i="2"/>
  <c r="G333" i="2"/>
  <c r="G334" i="2"/>
  <c r="G335" i="2"/>
  <c r="G336" i="2"/>
  <c r="G337" i="2"/>
  <c r="G338" i="2"/>
  <c r="G339" i="2"/>
  <c r="G340" i="2"/>
  <c r="G341" i="2"/>
  <c r="G342" i="2"/>
  <c r="G343" i="2"/>
  <c r="G344" i="2"/>
  <c r="G345" i="2"/>
  <c r="G346" i="2"/>
  <c r="G347" i="2"/>
  <c r="G348" i="2"/>
  <c r="G349" i="2"/>
  <c r="G350" i="2"/>
  <c r="G351" i="2"/>
  <c r="G352" i="2"/>
  <c r="G353" i="2"/>
  <c r="G354" i="2"/>
  <c r="G355" i="2"/>
  <c r="G356" i="2"/>
  <c r="G357" i="2"/>
  <c r="G358" i="2"/>
  <c r="G359" i="2"/>
  <c r="G360" i="2"/>
  <c r="G361" i="2"/>
  <c r="G362" i="2"/>
  <c r="G363" i="2"/>
  <c r="G364" i="2"/>
  <c r="G365" i="2"/>
  <c r="G366" i="2"/>
  <c r="G367" i="2"/>
  <c r="G368" i="2"/>
  <c r="G369" i="2"/>
  <c r="G370" i="2"/>
  <c r="G371" i="2"/>
  <c r="G372" i="2"/>
  <c r="G373" i="2"/>
  <c r="G374" i="2"/>
  <c r="G375" i="2"/>
  <c r="G376" i="2"/>
  <c r="G377" i="2"/>
  <c r="G378" i="2"/>
  <c r="G379" i="2"/>
  <c r="G380" i="2"/>
  <c r="G381" i="2"/>
  <c r="G382"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19" i="2"/>
  <c r="G420" i="2"/>
  <c r="G421" i="2"/>
  <c r="G422" i="2"/>
  <c r="G423" i="2"/>
  <c r="G424" i="2"/>
  <c r="G425" i="2"/>
  <c r="G426" i="2"/>
  <c r="G427" i="2"/>
  <c r="G428" i="2"/>
  <c r="G429" i="2"/>
  <c r="G430" i="2"/>
  <c r="G431" i="2"/>
  <c r="G432" i="2"/>
  <c r="G433" i="2"/>
  <c r="G434" i="2"/>
  <c r="G435" i="2"/>
  <c r="G436" i="2"/>
  <c r="G437" i="2"/>
  <c r="G438" i="2"/>
  <c r="G439" i="2"/>
  <c r="G440" i="2"/>
  <c r="G441" i="2"/>
  <c r="G442" i="2"/>
  <c r="G443" i="2"/>
  <c r="G444" i="2"/>
  <c r="G445" i="2"/>
  <c r="G446" i="2"/>
  <c r="G447" i="2"/>
  <c r="G448" i="2"/>
  <c r="G449" i="2"/>
  <c r="G450" i="2"/>
  <c r="G451" i="2"/>
  <c r="G452" i="2"/>
  <c r="G453" i="2"/>
  <c r="G454" i="2"/>
  <c r="G455" i="2"/>
  <c r="G456" i="2"/>
  <c r="G457" i="2"/>
  <c r="G458" i="2"/>
  <c r="G459" i="2"/>
  <c r="G460" i="2"/>
  <c r="G461" i="2"/>
  <c r="G462" i="2"/>
  <c r="G463" i="2"/>
  <c r="G464" i="2"/>
  <c r="G465" i="2"/>
  <c r="G466" i="2"/>
  <c r="G467" i="2"/>
  <c r="G468" i="2"/>
  <c r="G469" i="2"/>
  <c r="G470" i="2"/>
  <c r="G471" i="2"/>
  <c r="G472" i="2"/>
  <c r="G473" i="2"/>
  <c r="G474" i="2"/>
  <c r="G475" i="2"/>
  <c r="G476" i="2"/>
  <c r="G477" i="2"/>
  <c r="G478" i="2"/>
  <c r="G479" i="2"/>
  <c r="G480" i="2"/>
  <c r="G481" i="2"/>
  <c r="G482" i="2"/>
  <c r="G483" i="2"/>
  <c r="G484" i="2"/>
  <c r="G485" i="2"/>
  <c r="G486" i="2"/>
  <c r="G487" i="2"/>
  <c r="G488" i="2"/>
  <c r="G489" i="2"/>
  <c r="G490" i="2"/>
  <c r="G491" i="2"/>
  <c r="G492" i="2"/>
  <c r="G493" i="2"/>
  <c r="G494" i="2"/>
  <c r="G495" i="2"/>
  <c r="G496" i="2"/>
  <c r="G497" i="2"/>
  <c r="G498" i="2"/>
  <c r="G499" i="2"/>
  <c r="G500" i="2"/>
  <c r="G501" i="2"/>
  <c r="G502" i="2"/>
  <c r="G503" i="2"/>
  <c r="G504" i="2"/>
  <c r="G505" i="2"/>
  <c r="G506" i="2"/>
  <c r="G507" i="2"/>
  <c r="G508" i="2"/>
  <c r="G509" i="2"/>
  <c r="G510" i="2"/>
  <c r="G511" i="2"/>
  <c r="G512" i="2"/>
  <c r="Y9" i="2" l="1" a="1"/>
  <c r="Y9" i="2" s="1"/>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1" i="2"/>
  <c r="J202" i="2"/>
  <c r="J203" i="2"/>
  <c r="J204" i="2"/>
  <c r="J205" i="2"/>
  <c r="J206" i="2"/>
  <c r="J207" i="2"/>
  <c r="J208" i="2"/>
  <c r="J209" i="2"/>
  <c r="J210" i="2"/>
  <c r="J211" i="2"/>
  <c r="J212" i="2"/>
  <c r="J213" i="2"/>
  <c r="J214" i="2"/>
  <c r="J215" i="2"/>
  <c r="J216" i="2"/>
  <c r="J217" i="2"/>
  <c r="J218" i="2"/>
  <c r="J219" i="2"/>
  <c r="J220" i="2"/>
  <c r="J221" i="2"/>
  <c r="J222" i="2"/>
  <c r="J223" i="2"/>
  <c r="J224" i="2"/>
  <c r="J225" i="2"/>
  <c r="J226" i="2"/>
  <c r="J227" i="2"/>
  <c r="J228" i="2"/>
  <c r="J229" i="2"/>
  <c r="J230" i="2"/>
  <c r="J231" i="2"/>
  <c r="J232" i="2"/>
  <c r="J233" i="2"/>
  <c r="J234" i="2"/>
  <c r="J235" i="2"/>
  <c r="J236" i="2"/>
  <c r="J237" i="2"/>
  <c r="J238" i="2"/>
  <c r="J239" i="2"/>
  <c r="J240" i="2"/>
  <c r="J241" i="2"/>
  <c r="J242" i="2"/>
  <c r="J243" i="2"/>
  <c r="J244" i="2"/>
  <c r="J245" i="2"/>
  <c r="J246" i="2"/>
  <c r="J247" i="2"/>
  <c r="J248" i="2"/>
  <c r="J249" i="2"/>
  <c r="J250" i="2"/>
  <c r="J251" i="2"/>
  <c r="J252" i="2"/>
  <c r="J253" i="2"/>
  <c r="J254" i="2"/>
  <c r="J255" i="2"/>
  <c r="J256" i="2"/>
  <c r="J257" i="2"/>
  <c r="J258" i="2"/>
  <c r="J259" i="2"/>
  <c r="J260" i="2"/>
  <c r="J261" i="2"/>
  <c r="J262" i="2"/>
  <c r="J263" i="2"/>
  <c r="J264" i="2"/>
  <c r="J265" i="2"/>
  <c r="J266" i="2"/>
  <c r="J267" i="2"/>
  <c r="J268" i="2"/>
  <c r="J269" i="2"/>
  <c r="J270" i="2"/>
  <c r="J271" i="2"/>
  <c r="J272" i="2"/>
  <c r="J273" i="2"/>
  <c r="J274" i="2"/>
  <c r="J275" i="2"/>
  <c r="J276" i="2"/>
  <c r="J277" i="2"/>
  <c r="J278" i="2"/>
  <c r="J279" i="2"/>
  <c r="J280" i="2"/>
  <c r="J281" i="2"/>
  <c r="J282" i="2"/>
  <c r="J283" i="2"/>
  <c r="J284" i="2"/>
  <c r="J285" i="2"/>
  <c r="J286" i="2"/>
  <c r="J287" i="2"/>
  <c r="J288" i="2"/>
  <c r="J289" i="2"/>
  <c r="J290" i="2"/>
  <c r="J291" i="2"/>
  <c r="J292" i="2"/>
  <c r="J293" i="2"/>
  <c r="J294" i="2"/>
  <c r="J295" i="2"/>
  <c r="J296" i="2"/>
  <c r="J297" i="2"/>
  <c r="J298" i="2"/>
  <c r="J299" i="2"/>
  <c r="J300" i="2"/>
  <c r="J301" i="2"/>
  <c r="J302" i="2"/>
  <c r="J303" i="2"/>
  <c r="J304" i="2"/>
  <c r="J305" i="2"/>
  <c r="J306" i="2"/>
  <c r="J307" i="2"/>
  <c r="J308" i="2"/>
  <c r="J309" i="2"/>
  <c r="J310" i="2"/>
  <c r="J311" i="2"/>
  <c r="J312" i="2"/>
  <c r="J313" i="2"/>
  <c r="J314" i="2"/>
  <c r="J315" i="2"/>
  <c r="J316" i="2"/>
  <c r="J317" i="2"/>
  <c r="J318" i="2"/>
  <c r="J319" i="2"/>
  <c r="J320" i="2"/>
  <c r="J321" i="2"/>
  <c r="J322" i="2"/>
  <c r="J323" i="2"/>
  <c r="J324" i="2"/>
  <c r="J325" i="2"/>
  <c r="J326" i="2"/>
  <c r="J327" i="2"/>
  <c r="J328" i="2"/>
  <c r="J329" i="2"/>
  <c r="J330" i="2"/>
  <c r="J331" i="2"/>
  <c r="J332" i="2"/>
  <c r="J333" i="2"/>
  <c r="J334" i="2"/>
  <c r="J335" i="2"/>
  <c r="J336" i="2"/>
  <c r="J337" i="2"/>
  <c r="J338" i="2"/>
  <c r="J339" i="2"/>
  <c r="J340" i="2"/>
  <c r="J341" i="2"/>
  <c r="J342" i="2"/>
  <c r="J343" i="2"/>
  <c r="J344" i="2"/>
  <c r="J345" i="2"/>
  <c r="J346" i="2"/>
  <c r="J347" i="2"/>
  <c r="J348" i="2"/>
  <c r="J349" i="2"/>
  <c r="J350" i="2"/>
  <c r="J351" i="2"/>
  <c r="J352" i="2"/>
  <c r="J353" i="2"/>
  <c r="J354" i="2"/>
  <c r="J355" i="2"/>
  <c r="J356" i="2"/>
  <c r="J357" i="2"/>
  <c r="J358" i="2"/>
  <c r="J359" i="2"/>
  <c r="J360" i="2"/>
  <c r="J361" i="2"/>
  <c r="J362" i="2"/>
  <c r="J363" i="2"/>
  <c r="J364" i="2"/>
  <c r="J365" i="2"/>
  <c r="J366" i="2"/>
  <c r="J367" i="2"/>
  <c r="J368" i="2"/>
  <c r="J369" i="2"/>
  <c r="J370" i="2"/>
  <c r="J371" i="2"/>
  <c r="J372" i="2"/>
  <c r="J373" i="2"/>
  <c r="J374" i="2"/>
  <c r="J375" i="2"/>
  <c r="J376" i="2"/>
  <c r="J377" i="2"/>
  <c r="J378" i="2"/>
  <c r="J379" i="2"/>
  <c r="J380" i="2"/>
  <c r="J381" i="2"/>
  <c r="J382" i="2"/>
  <c r="J383" i="2"/>
  <c r="J384" i="2"/>
  <c r="J385" i="2"/>
  <c r="J386" i="2"/>
  <c r="J387" i="2"/>
  <c r="J388" i="2"/>
  <c r="J389" i="2"/>
  <c r="J390" i="2"/>
  <c r="J391" i="2"/>
  <c r="J392" i="2"/>
  <c r="J393" i="2"/>
  <c r="J394" i="2"/>
  <c r="J395" i="2"/>
  <c r="J396" i="2"/>
  <c r="J397" i="2"/>
  <c r="J398" i="2"/>
  <c r="J399" i="2"/>
  <c r="J400" i="2"/>
  <c r="J401" i="2"/>
  <c r="J402" i="2"/>
  <c r="J403" i="2"/>
  <c r="J404" i="2"/>
  <c r="J405" i="2"/>
  <c r="J406" i="2"/>
  <c r="J407" i="2"/>
  <c r="J408" i="2"/>
  <c r="J409" i="2"/>
  <c r="J410" i="2"/>
  <c r="J411" i="2"/>
  <c r="J412" i="2"/>
  <c r="J413" i="2"/>
  <c r="J414" i="2"/>
  <c r="J415" i="2"/>
  <c r="J416" i="2"/>
  <c r="J417" i="2"/>
  <c r="J418" i="2"/>
  <c r="J419" i="2"/>
  <c r="J420" i="2"/>
  <c r="J421" i="2"/>
  <c r="J422" i="2"/>
  <c r="J423" i="2"/>
  <c r="J424" i="2"/>
  <c r="J425" i="2"/>
  <c r="J426" i="2"/>
  <c r="J427" i="2"/>
  <c r="J428" i="2"/>
  <c r="J429" i="2"/>
  <c r="J430" i="2"/>
  <c r="J431" i="2"/>
  <c r="J432" i="2"/>
  <c r="J433" i="2"/>
  <c r="J434" i="2"/>
  <c r="J435" i="2"/>
  <c r="J436" i="2"/>
  <c r="J437" i="2"/>
  <c r="J438" i="2"/>
  <c r="J439" i="2"/>
  <c r="J440" i="2"/>
  <c r="J441" i="2"/>
  <c r="J442" i="2"/>
  <c r="J443" i="2"/>
  <c r="J444" i="2"/>
  <c r="J445" i="2"/>
  <c r="J446" i="2"/>
  <c r="J447" i="2"/>
  <c r="J448" i="2"/>
  <c r="J449" i="2"/>
  <c r="J450" i="2"/>
  <c r="J451" i="2"/>
  <c r="J452" i="2"/>
  <c r="J453" i="2"/>
  <c r="J454" i="2"/>
  <c r="J455" i="2"/>
  <c r="J456" i="2"/>
  <c r="J457" i="2"/>
  <c r="J458" i="2"/>
  <c r="J459" i="2"/>
  <c r="J460" i="2"/>
  <c r="J461" i="2"/>
  <c r="J462" i="2"/>
  <c r="J463" i="2"/>
  <c r="J464" i="2"/>
  <c r="J465" i="2"/>
  <c r="J466" i="2"/>
  <c r="J467" i="2"/>
  <c r="J468" i="2"/>
  <c r="J469" i="2"/>
  <c r="J470" i="2"/>
  <c r="J471" i="2"/>
  <c r="J472" i="2"/>
  <c r="J473" i="2"/>
  <c r="J474" i="2"/>
  <c r="J475" i="2"/>
  <c r="J476" i="2"/>
  <c r="J477" i="2"/>
  <c r="J478" i="2"/>
  <c r="J479" i="2"/>
  <c r="J480" i="2"/>
  <c r="J481" i="2"/>
  <c r="J482" i="2"/>
  <c r="J483" i="2"/>
  <c r="J484" i="2"/>
  <c r="J485" i="2"/>
  <c r="J486" i="2"/>
  <c r="J487" i="2"/>
  <c r="J488" i="2"/>
  <c r="J489" i="2"/>
  <c r="J490" i="2"/>
  <c r="J491" i="2"/>
  <c r="J492" i="2"/>
  <c r="J493" i="2"/>
  <c r="J494" i="2"/>
  <c r="J495" i="2"/>
  <c r="J496" i="2"/>
  <c r="J497" i="2"/>
  <c r="J498" i="2"/>
  <c r="J499" i="2"/>
  <c r="J500" i="2"/>
  <c r="J501" i="2"/>
  <c r="J502" i="2"/>
  <c r="J503" i="2"/>
  <c r="J504" i="2"/>
  <c r="J505" i="2"/>
  <c r="J506" i="2"/>
  <c r="J507" i="2"/>
  <c r="J508" i="2"/>
  <c r="J509" i="2"/>
  <c r="J510" i="2"/>
  <c r="J511" i="2"/>
  <c r="J5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196" i="2"/>
  <c r="I197" i="2"/>
  <c r="I198" i="2"/>
  <c r="I199" i="2"/>
  <c r="I200" i="2"/>
  <c r="I201" i="2"/>
  <c r="I202" i="2"/>
  <c r="I203" i="2"/>
  <c r="I204" i="2"/>
  <c r="I205" i="2"/>
  <c r="I206" i="2"/>
  <c r="I207" i="2"/>
  <c r="I208" i="2"/>
  <c r="I209" i="2"/>
  <c r="I210" i="2"/>
  <c r="I211" i="2"/>
  <c r="I212" i="2"/>
  <c r="I213" i="2"/>
  <c r="I214" i="2"/>
  <c r="I215" i="2"/>
  <c r="I216" i="2"/>
  <c r="I217" i="2"/>
  <c r="I218" i="2"/>
  <c r="I219" i="2"/>
  <c r="I220" i="2"/>
  <c r="I221" i="2"/>
  <c r="I222" i="2"/>
  <c r="I223" i="2"/>
  <c r="I224" i="2"/>
  <c r="I225" i="2"/>
  <c r="I226" i="2"/>
  <c r="I227" i="2"/>
  <c r="I228" i="2"/>
  <c r="I229" i="2"/>
  <c r="I230" i="2"/>
  <c r="I231" i="2"/>
  <c r="I232" i="2"/>
  <c r="I233" i="2"/>
  <c r="I234" i="2"/>
  <c r="I235" i="2"/>
  <c r="I236" i="2"/>
  <c r="I237" i="2"/>
  <c r="I238" i="2"/>
  <c r="I239" i="2"/>
  <c r="I240" i="2"/>
  <c r="I241" i="2"/>
  <c r="I242" i="2"/>
  <c r="I243" i="2"/>
  <c r="I244" i="2"/>
  <c r="I245" i="2"/>
  <c r="I246" i="2"/>
  <c r="I247" i="2"/>
  <c r="I248" i="2"/>
  <c r="I249" i="2"/>
  <c r="I250" i="2"/>
  <c r="I251" i="2"/>
  <c r="I252" i="2"/>
  <c r="I253" i="2"/>
  <c r="I254" i="2"/>
  <c r="I255" i="2"/>
  <c r="I256" i="2"/>
  <c r="I257" i="2"/>
  <c r="I258" i="2"/>
  <c r="I259" i="2"/>
  <c r="I260" i="2"/>
  <c r="I261" i="2"/>
  <c r="I262" i="2"/>
  <c r="I263" i="2"/>
  <c r="I264" i="2"/>
  <c r="I265" i="2"/>
  <c r="I266" i="2"/>
  <c r="I267" i="2"/>
  <c r="I268" i="2"/>
  <c r="I269" i="2"/>
  <c r="I270" i="2"/>
  <c r="I271" i="2"/>
  <c r="I272" i="2"/>
  <c r="I273" i="2"/>
  <c r="I274" i="2"/>
  <c r="I275" i="2"/>
  <c r="I276" i="2"/>
  <c r="I277" i="2"/>
  <c r="I278" i="2"/>
  <c r="I279" i="2"/>
  <c r="I280" i="2"/>
  <c r="I281" i="2"/>
  <c r="I282" i="2"/>
  <c r="I283" i="2"/>
  <c r="I284" i="2"/>
  <c r="I285" i="2"/>
  <c r="I286" i="2"/>
  <c r="I287" i="2"/>
  <c r="I288" i="2"/>
  <c r="I289" i="2"/>
  <c r="I290" i="2"/>
  <c r="I291" i="2"/>
  <c r="I292" i="2"/>
  <c r="I293" i="2"/>
  <c r="I294" i="2"/>
  <c r="I295" i="2"/>
  <c r="I296" i="2"/>
  <c r="I297" i="2"/>
  <c r="I298" i="2"/>
  <c r="I299" i="2"/>
  <c r="I300" i="2"/>
  <c r="I301" i="2"/>
  <c r="I302" i="2"/>
  <c r="I303" i="2"/>
  <c r="I304" i="2"/>
  <c r="I305" i="2"/>
  <c r="I306" i="2"/>
  <c r="I307" i="2"/>
  <c r="I308" i="2"/>
  <c r="I309" i="2"/>
  <c r="I310" i="2"/>
  <c r="I311" i="2"/>
  <c r="I312" i="2"/>
  <c r="I313" i="2"/>
  <c r="I314" i="2"/>
  <c r="I315" i="2"/>
  <c r="I316" i="2"/>
  <c r="I317" i="2"/>
  <c r="I318" i="2"/>
  <c r="I319" i="2"/>
  <c r="I320" i="2"/>
  <c r="I321" i="2"/>
  <c r="I322" i="2"/>
  <c r="I323" i="2"/>
  <c r="I324" i="2"/>
  <c r="I325" i="2"/>
  <c r="I326" i="2"/>
  <c r="I327" i="2"/>
  <c r="I328" i="2"/>
  <c r="I329" i="2"/>
  <c r="I330" i="2"/>
  <c r="I331" i="2"/>
  <c r="I332" i="2"/>
  <c r="I333" i="2"/>
  <c r="I334" i="2"/>
  <c r="I335" i="2"/>
  <c r="I336" i="2"/>
  <c r="I337" i="2"/>
  <c r="I338" i="2"/>
  <c r="I339" i="2"/>
  <c r="I340" i="2"/>
  <c r="I341" i="2"/>
  <c r="I342" i="2"/>
  <c r="I343" i="2"/>
  <c r="I344" i="2"/>
  <c r="I345" i="2"/>
  <c r="I346" i="2"/>
  <c r="I347" i="2"/>
  <c r="I348" i="2"/>
  <c r="I349" i="2"/>
  <c r="I350" i="2"/>
  <c r="I351" i="2"/>
  <c r="I352" i="2"/>
  <c r="I353" i="2"/>
  <c r="I354" i="2"/>
  <c r="I355" i="2"/>
  <c r="I356" i="2"/>
  <c r="I357" i="2"/>
  <c r="I358" i="2"/>
  <c r="I359" i="2"/>
  <c r="I360" i="2"/>
  <c r="I361" i="2"/>
  <c r="I362" i="2"/>
  <c r="I363" i="2"/>
  <c r="I364" i="2"/>
  <c r="I365" i="2"/>
  <c r="I366" i="2"/>
  <c r="I367" i="2"/>
  <c r="I368" i="2"/>
  <c r="I369" i="2"/>
  <c r="I370" i="2"/>
  <c r="I371" i="2"/>
  <c r="I372" i="2"/>
  <c r="I373" i="2"/>
  <c r="I374" i="2"/>
  <c r="I375" i="2"/>
  <c r="I376" i="2"/>
  <c r="I377" i="2"/>
  <c r="I378" i="2"/>
  <c r="I379" i="2"/>
  <c r="I380" i="2"/>
  <c r="I381" i="2"/>
  <c r="I382" i="2"/>
  <c r="I383" i="2"/>
  <c r="I384" i="2"/>
  <c r="I385" i="2"/>
  <c r="I386" i="2"/>
  <c r="I387" i="2"/>
  <c r="I388" i="2"/>
  <c r="I389" i="2"/>
  <c r="I390" i="2"/>
  <c r="I391" i="2"/>
  <c r="I392" i="2"/>
  <c r="I393" i="2"/>
  <c r="I394" i="2"/>
  <c r="I395" i="2"/>
  <c r="I396" i="2"/>
  <c r="I397" i="2"/>
  <c r="I398" i="2"/>
  <c r="I399" i="2"/>
  <c r="I400" i="2"/>
  <c r="I401" i="2"/>
  <c r="I402" i="2"/>
  <c r="I403" i="2"/>
  <c r="I404" i="2"/>
  <c r="I405" i="2"/>
  <c r="I406" i="2"/>
  <c r="I407" i="2"/>
  <c r="I408" i="2"/>
  <c r="I409" i="2"/>
  <c r="I410" i="2"/>
  <c r="I411" i="2"/>
  <c r="I412" i="2"/>
  <c r="I413" i="2"/>
  <c r="I414" i="2"/>
  <c r="I415" i="2"/>
  <c r="I416" i="2"/>
  <c r="I417" i="2"/>
  <c r="I418" i="2"/>
  <c r="I419" i="2"/>
  <c r="I420" i="2"/>
  <c r="I421" i="2"/>
  <c r="I422" i="2"/>
  <c r="I423" i="2"/>
  <c r="I424" i="2"/>
  <c r="I425" i="2"/>
  <c r="I426" i="2"/>
  <c r="I427" i="2"/>
  <c r="I428" i="2"/>
  <c r="I429" i="2"/>
  <c r="I430" i="2"/>
  <c r="I431" i="2"/>
  <c r="I432" i="2"/>
  <c r="I433" i="2"/>
  <c r="I434" i="2"/>
  <c r="I435" i="2"/>
  <c r="I436" i="2"/>
  <c r="I437" i="2"/>
  <c r="I438" i="2"/>
  <c r="I439" i="2"/>
  <c r="I440" i="2"/>
  <c r="I441" i="2"/>
  <c r="I442" i="2"/>
  <c r="I443" i="2"/>
  <c r="I444" i="2"/>
  <c r="I445" i="2"/>
  <c r="I446" i="2"/>
  <c r="I447" i="2"/>
  <c r="I448" i="2"/>
  <c r="I449" i="2"/>
  <c r="I450" i="2"/>
  <c r="I451" i="2"/>
  <c r="I452" i="2"/>
  <c r="I453" i="2"/>
  <c r="I454" i="2"/>
  <c r="I455" i="2"/>
  <c r="I456" i="2"/>
  <c r="I457" i="2"/>
  <c r="I458" i="2"/>
  <c r="I459" i="2"/>
  <c r="I460" i="2"/>
  <c r="I461" i="2"/>
  <c r="I462" i="2"/>
  <c r="I463" i="2"/>
  <c r="I464" i="2"/>
  <c r="I465" i="2"/>
  <c r="I466" i="2"/>
  <c r="I467" i="2"/>
  <c r="I468" i="2"/>
  <c r="I469" i="2"/>
  <c r="I470" i="2"/>
  <c r="I471" i="2"/>
  <c r="I472" i="2"/>
  <c r="I473" i="2"/>
  <c r="I474" i="2"/>
  <c r="I475" i="2"/>
  <c r="I476" i="2"/>
  <c r="I477" i="2"/>
  <c r="I478" i="2"/>
  <c r="I479" i="2"/>
  <c r="I480" i="2"/>
  <c r="I481" i="2"/>
  <c r="I482" i="2"/>
  <c r="I483" i="2"/>
  <c r="I484" i="2"/>
  <c r="I485" i="2"/>
  <c r="I486" i="2"/>
  <c r="I487" i="2"/>
  <c r="I488" i="2"/>
  <c r="I489" i="2"/>
  <c r="I490" i="2"/>
  <c r="I491" i="2"/>
  <c r="I492" i="2"/>
  <c r="I493" i="2"/>
  <c r="I494" i="2"/>
  <c r="I495" i="2"/>
  <c r="I496" i="2"/>
  <c r="I497" i="2"/>
  <c r="I498" i="2"/>
  <c r="I499" i="2"/>
  <c r="I500" i="2"/>
  <c r="I501" i="2"/>
  <c r="I502" i="2"/>
  <c r="I503" i="2"/>
  <c r="I504" i="2"/>
  <c r="I505" i="2"/>
  <c r="I506" i="2"/>
  <c r="I507" i="2"/>
  <c r="I508" i="2"/>
  <c r="I509" i="2"/>
  <c r="I510" i="2"/>
  <c r="I511" i="2"/>
  <c r="I5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Q9" i="2"/>
  <c r="P3" i="2" l="1"/>
  <c r="R9" i="2" s="1"/>
  <c r="D14" i="8"/>
  <c r="D15" i="8"/>
  <c r="D16" i="8"/>
  <c r="D17" i="8"/>
  <c r="D18" i="8"/>
  <c r="D19" i="8"/>
  <c r="D20" i="8"/>
  <c r="D21" i="8"/>
  <c r="D22" i="8"/>
  <c r="D23" i="8"/>
  <c r="D24" i="8"/>
  <c r="D25" i="8"/>
  <c r="F25" i="8" s="1"/>
  <c r="D26" i="8"/>
  <c r="D27" i="8"/>
  <c r="D28" i="8"/>
  <c r="D29" i="8"/>
  <c r="D30" i="8"/>
  <c r="F30" i="8" s="1"/>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7" i="8"/>
  <c r="D108" i="8"/>
  <c r="D109" i="8"/>
  <c r="D110" i="8"/>
  <c r="D111" i="8"/>
  <c r="D112" i="8"/>
  <c r="D113" i="8"/>
  <c r="D114" i="8"/>
  <c r="D115" i="8"/>
  <c r="D116" i="8"/>
  <c r="D117" i="8"/>
  <c r="D118" i="8"/>
  <c r="D119" i="8"/>
  <c r="D120" i="8"/>
  <c r="D121" i="8"/>
  <c r="D122" i="8"/>
  <c r="D123" i="8"/>
  <c r="D124" i="8"/>
  <c r="D125" i="8"/>
  <c r="D126" i="8"/>
  <c r="D127" i="8"/>
  <c r="D128" i="8"/>
  <c r="D129" i="8"/>
  <c r="D130" i="8"/>
  <c r="D131" i="8"/>
  <c r="D132" i="8"/>
  <c r="D133" i="8"/>
  <c r="D134" i="8"/>
  <c r="D135" i="8"/>
  <c r="D136" i="8"/>
  <c r="D137" i="8"/>
  <c r="D138" i="8"/>
  <c r="D139" i="8"/>
  <c r="D140" i="8"/>
  <c r="D141" i="8"/>
  <c r="D142" i="8"/>
  <c r="D143" i="8"/>
  <c r="D144" i="8"/>
  <c r="D145" i="8"/>
  <c r="D146" i="8"/>
  <c r="D147" i="8"/>
  <c r="D148" i="8"/>
  <c r="D149" i="8"/>
  <c r="D150" i="8"/>
  <c r="D151" i="8"/>
  <c r="D152" i="8"/>
  <c r="D153" i="8"/>
  <c r="D154" i="8"/>
  <c r="D155" i="8"/>
  <c r="D156" i="8"/>
  <c r="D157" i="8"/>
  <c r="D158" i="8"/>
  <c r="D159" i="8"/>
  <c r="D160" i="8"/>
  <c r="D161" i="8"/>
  <c r="D162" i="8"/>
  <c r="D163" i="8"/>
  <c r="D164" i="8"/>
  <c r="D165" i="8"/>
  <c r="D166" i="8"/>
  <c r="D167" i="8"/>
  <c r="D168" i="8"/>
  <c r="D169" i="8"/>
  <c r="D170" i="8"/>
  <c r="D171" i="8"/>
  <c r="D172" i="8"/>
  <c r="D173" i="8"/>
  <c r="D174" i="8"/>
  <c r="D175" i="8"/>
  <c r="D176" i="8"/>
  <c r="D177" i="8"/>
  <c r="D178" i="8"/>
  <c r="D179" i="8"/>
  <c r="D180" i="8"/>
  <c r="D181" i="8"/>
  <c r="D182" i="8"/>
  <c r="D183" i="8"/>
  <c r="D184" i="8"/>
  <c r="D185" i="8"/>
  <c r="D186" i="8"/>
  <c r="D187" i="8"/>
  <c r="D188" i="8"/>
  <c r="D189" i="8"/>
  <c r="D190" i="8"/>
  <c r="D191" i="8"/>
  <c r="D192" i="8"/>
  <c r="D193" i="8"/>
  <c r="D194" i="8"/>
  <c r="D195" i="8"/>
  <c r="D196" i="8"/>
  <c r="D197" i="8"/>
  <c r="D198" i="8"/>
  <c r="D199" i="8"/>
  <c r="D200" i="8"/>
  <c r="D201" i="8"/>
  <c r="D202" i="8"/>
  <c r="D203" i="8"/>
  <c r="D204" i="8"/>
  <c r="D205" i="8"/>
  <c r="D206" i="8"/>
  <c r="D207" i="8"/>
  <c r="D208" i="8"/>
  <c r="D209" i="8"/>
  <c r="D210" i="8"/>
  <c r="D211" i="8"/>
  <c r="D212" i="8"/>
  <c r="D213" i="8"/>
  <c r="D214" i="8"/>
  <c r="D215" i="8"/>
  <c r="D216" i="8"/>
  <c r="D217" i="8"/>
  <c r="D218" i="8"/>
  <c r="D219" i="8"/>
  <c r="D220" i="8"/>
  <c r="D221" i="8"/>
  <c r="D222" i="8"/>
  <c r="D223" i="8"/>
  <c r="D224" i="8"/>
  <c r="D225" i="8"/>
  <c r="D226" i="8"/>
  <c r="D227" i="8"/>
  <c r="D228" i="8"/>
  <c r="D229" i="8"/>
  <c r="D230" i="8"/>
  <c r="D231" i="8"/>
  <c r="D232" i="8"/>
  <c r="D233" i="8"/>
  <c r="D234" i="8"/>
  <c r="D235" i="8"/>
  <c r="D236" i="8"/>
  <c r="D237" i="8"/>
  <c r="D238" i="8"/>
  <c r="D239" i="8"/>
  <c r="D240" i="8"/>
  <c r="D241" i="8"/>
  <c r="D242" i="8"/>
  <c r="D243" i="8"/>
  <c r="D244" i="8"/>
  <c r="D245" i="8"/>
  <c r="D246" i="8"/>
  <c r="D247" i="8"/>
  <c r="D248" i="8"/>
  <c r="D249" i="8"/>
  <c r="D250" i="8"/>
  <c r="D251" i="8"/>
  <c r="D252" i="8"/>
  <c r="D253" i="8"/>
  <c r="D254" i="8"/>
  <c r="D255" i="8"/>
  <c r="D256" i="8"/>
  <c r="D257" i="8"/>
  <c r="D258" i="8"/>
  <c r="D259" i="8"/>
  <c r="D260" i="8"/>
  <c r="D261" i="8"/>
  <c r="D262" i="8"/>
  <c r="D263" i="8"/>
  <c r="D264" i="8"/>
  <c r="D265" i="8"/>
  <c r="D266" i="8"/>
  <c r="D267" i="8"/>
  <c r="D268" i="8"/>
  <c r="D269" i="8"/>
  <c r="D270" i="8"/>
  <c r="D271" i="8"/>
  <c r="D272" i="8"/>
  <c r="D273" i="8"/>
  <c r="D274" i="8"/>
  <c r="D275" i="8"/>
  <c r="D276" i="8"/>
  <c r="D277" i="8"/>
  <c r="D278" i="8"/>
  <c r="D279" i="8"/>
  <c r="D280" i="8"/>
  <c r="D281" i="8"/>
  <c r="D282" i="8"/>
  <c r="D283" i="8"/>
  <c r="D284" i="8"/>
  <c r="D285" i="8"/>
  <c r="D286" i="8"/>
  <c r="D287" i="8"/>
  <c r="D288" i="8"/>
  <c r="D289" i="8"/>
  <c r="D290" i="8"/>
  <c r="D291" i="8"/>
  <c r="D292" i="8"/>
  <c r="D293" i="8"/>
  <c r="D294" i="8"/>
  <c r="D295" i="8"/>
  <c r="D296" i="8"/>
  <c r="D297" i="8"/>
  <c r="D298" i="8"/>
  <c r="D299" i="8"/>
  <c r="D300" i="8"/>
  <c r="D301" i="8"/>
  <c r="D302" i="8"/>
  <c r="D303" i="8"/>
  <c r="D304" i="8"/>
  <c r="D305" i="8"/>
  <c r="D306" i="8"/>
  <c r="D307" i="8"/>
  <c r="D308" i="8"/>
  <c r="D309" i="8"/>
  <c r="D310" i="8"/>
  <c r="D311" i="8"/>
  <c r="D312" i="8"/>
  <c r="D313" i="8"/>
  <c r="D314" i="8"/>
  <c r="D315" i="8"/>
  <c r="D316" i="8"/>
  <c r="D317" i="8"/>
  <c r="D318" i="8"/>
  <c r="D319" i="8"/>
  <c r="D320" i="8"/>
  <c r="D321" i="8"/>
  <c r="D322" i="8"/>
  <c r="D323" i="8"/>
  <c r="D324" i="8"/>
  <c r="D325" i="8"/>
  <c r="D326" i="8"/>
  <c r="D327" i="8"/>
  <c r="D328" i="8"/>
  <c r="D329" i="8"/>
  <c r="D330" i="8"/>
  <c r="D331" i="8"/>
  <c r="D332" i="8"/>
  <c r="D333" i="8"/>
  <c r="D334" i="8"/>
  <c r="D335" i="8"/>
  <c r="D336" i="8"/>
  <c r="D337" i="8"/>
  <c r="D338" i="8"/>
  <c r="D339" i="8"/>
  <c r="D340" i="8"/>
  <c r="D341" i="8"/>
  <c r="D342" i="8"/>
  <c r="D343" i="8"/>
  <c r="D344" i="8"/>
  <c r="D345" i="8"/>
  <c r="D346" i="8"/>
  <c r="D347" i="8"/>
  <c r="D348" i="8"/>
  <c r="D349" i="8"/>
  <c r="D350" i="8"/>
  <c r="D351" i="8"/>
  <c r="D352" i="8"/>
  <c r="D353" i="8"/>
  <c r="D354" i="8"/>
  <c r="D355" i="8"/>
  <c r="D356" i="8"/>
  <c r="D357" i="8"/>
  <c r="D358" i="8"/>
  <c r="D359" i="8"/>
  <c r="D360" i="8"/>
  <c r="D361" i="8"/>
  <c r="D362" i="8"/>
  <c r="D363" i="8"/>
  <c r="D364" i="8"/>
  <c r="D365" i="8"/>
  <c r="D366" i="8"/>
  <c r="D367" i="8"/>
  <c r="D368" i="8"/>
  <c r="D369" i="8"/>
  <c r="D370" i="8"/>
  <c r="D371" i="8"/>
  <c r="D372" i="8"/>
  <c r="D373" i="8"/>
  <c r="D374" i="8"/>
  <c r="D375" i="8"/>
  <c r="D376" i="8"/>
  <c r="D377" i="8"/>
  <c r="D378" i="8"/>
  <c r="D379" i="8"/>
  <c r="D380" i="8"/>
  <c r="D381" i="8"/>
  <c r="D382" i="8"/>
  <c r="D383" i="8"/>
  <c r="D384" i="8"/>
  <c r="D385" i="8"/>
  <c r="D386" i="8"/>
  <c r="D387" i="8"/>
  <c r="D388" i="8"/>
  <c r="D389" i="8"/>
  <c r="D390" i="8"/>
  <c r="D391" i="8"/>
  <c r="D392" i="8"/>
  <c r="D393" i="8"/>
  <c r="D394" i="8"/>
  <c r="D395" i="8"/>
  <c r="D396" i="8"/>
  <c r="D397" i="8"/>
  <c r="D398" i="8"/>
  <c r="D399" i="8"/>
  <c r="D400" i="8"/>
  <c r="D401" i="8"/>
  <c r="D402" i="8"/>
  <c r="D403" i="8"/>
  <c r="D404" i="8"/>
  <c r="D405" i="8"/>
  <c r="D406" i="8"/>
  <c r="D407" i="8"/>
  <c r="D408" i="8"/>
  <c r="D409" i="8"/>
  <c r="D410" i="8"/>
  <c r="D411" i="8"/>
  <c r="D412" i="8"/>
  <c r="D413" i="8"/>
  <c r="D414" i="8"/>
  <c r="D415" i="8"/>
  <c r="D416" i="8"/>
  <c r="D417" i="8"/>
  <c r="D418" i="8"/>
  <c r="D419" i="8"/>
  <c r="D420" i="8"/>
  <c r="D421" i="8"/>
  <c r="D422" i="8"/>
  <c r="D423" i="8"/>
  <c r="D424" i="8"/>
  <c r="D425" i="8"/>
  <c r="D426" i="8"/>
  <c r="D427" i="8"/>
  <c r="D428" i="8"/>
  <c r="D429" i="8"/>
  <c r="D430" i="8"/>
  <c r="D431" i="8"/>
  <c r="D432" i="8"/>
  <c r="D433" i="8"/>
  <c r="D434" i="8"/>
  <c r="D435" i="8"/>
  <c r="D436" i="8"/>
  <c r="D437" i="8"/>
  <c r="D438" i="8"/>
  <c r="D439" i="8"/>
  <c r="D440" i="8"/>
  <c r="D441" i="8"/>
  <c r="D442" i="8"/>
  <c r="D443" i="8"/>
  <c r="D444" i="8"/>
  <c r="D445" i="8"/>
  <c r="D446" i="8"/>
  <c r="D447" i="8"/>
  <c r="D448" i="8"/>
  <c r="D449" i="8"/>
  <c r="D450" i="8"/>
  <c r="D451" i="8"/>
  <c r="D452" i="8"/>
  <c r="D453" i="8"/>
  <c r="D454" i="8"/>
  <c r="D455" i="8"/>
  <c r="D456" i="8"/>
  <c r="D457" i="8"/>
  <c r="D458" i="8"/>
  <c r="D459" i="8"/>
  <c r="D460" i="8"/>
  <c r="D461" i="8"/>
  <c r="D462" i="8"/>
  <c r="D463" i="8"/>
  <c r="D464" i="8"/>
  <c r="D465" i="8"/>
  <c r="D466" i="8"/>
  <c r="D467" i="8"/>
  <c r="D468" i="8"/>
  <c r="D469" i="8"/>
  <c r="D470" i="8"/>
  <c r="D471" i="8"/>
  <c r="D472" i="8"/>
  <c r="D473" i="8"/>
  <c r="D474" i="8"/>
  <c r="D475" i="8"/>
  <c r="D476" i="8"/>
  <c r="D477" i="8"/>
  <c r="D478" i="8"/>
  <c r="D479" i="8"/>
  <c r="D480" i="8"/>
  <c r="D481" i="8"/>
  <c r="D482" i="8"/>
  <c r="D483" i="8"/>
  <c r="D484" i="8"/>
  <c r="D485" i="8"/>
  <c r="D486" i="8"/>
  <c r="D487" i="8"/>
  <c r="D488" i="8"/>
  <c r="D489" i="8"/>
  <c r="D490" i="8"/>
  <c r="D491" i="8"/>
  <c r="D492" i="8"/>
  <c r="D493" i="8"/>
  <c r="D494" i="8"/>
  <c r="D495" i="8"/>
  <c r="D496" i="8"/>
  <c r="D497" i="8"/>
  <c r="D498" i="8"/>
  <c r="D499" i="8"/>
  <c r="D500" i="8"/>
  <c r="D501" i="8"/>
  <c r="D502" i="8"/>
  <c r="D503" i="8"/>
  <c r="D504" i="8"/>
  <c r="D505" i="8"/>
  <c r="D506" i="8"/>
  <c r="D507" i="8"/>
  <c r="D508" i="8"/>
  <c r="D509" i="8"/>
  <c r="D510" i="8"/>
  <c r="D511" i="8"/>
  <c r="D512" i="8"/>
  <c r="F512" i="8" s="1"/>
  <c r="D13" i="8"/>
  <c r="S9" i="2" l="1"/>
  <c r="F14" i="8" l="1"/>
  <c r="F15" i="8"/>
  <c r="F16" i="8"/>
  <c r="F17" i="8"/>
  <c r="F18" i="8"/>
  <c r="F19" i="8"/>
  <c r="F20" i="8"/>
  <c r="F21" i="8"/>
  <c r="F22" i="8"/>
  <c r="F23" i="8"/>
  <c r="F24" i="8"/>
  <c r="F16" i="10"/>
  <c r="F17" i="10"/>
  <c r="F14" i="10"/>
  <c r="F15" i="10"/>
  <c r="F13" i="10"/>
  <c r="K13" i="2" l="1"/>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K251" i="2"/>
  <c r="K252" i="2"/>
  <c r="K253" i="2"/>
  <c r="K254" i="2"/>
  <c r="K255" i="2"/>
  <c r="K256" i="2"/>
  <c r="K257" i="2"/>
  <c r="K258" i="2"/>
  <c r="K259" i="2"/>
  <c r="K260" i="2"/>
  <c r="K261" i="2"/>
  <c r="K262" i="2"/>
  <c r="K263" i="2"/>
  <c r="K264" i="2"/>
  <c r="K265" i="2"/>
  <c r="K266" i="2"/>
  <c r="K267" i="2"/>
  <c r="K268" i="2"/>
  <c r="K269" i="2"/>
  <c r="K270" i="2"/>
  <c r="K271" i="2"/>
  <c r="K272" i="2"/>
  <c r="K273" i="2"/>
  <c r="K274" i="2"/>
  <c r="K275" i="2"/>
  <c r="K276" i="2"/>
  <c r="K277" i="2"/>
  <c r="K278" i="2"/>
  <c r="K279"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K305" i="2"/>
  <c r="K306" i="2"/>
  <c r="K307" i="2"/>
  <c r="K308" i="2"/>
  <c r="K309" i="2"/>
  <c r="K310" i="2"/>
  <c r="K311" i="2"/>
  <c r="K312" i="2"/>
  <c r="K313" i="2"/>
  <c r="K314" i="2"/>
  <c r="K315" i="2"/>
  <c r="K316" i="2"/>
  <c r="K317" i="2"/>
  <c r="K318" i="2"/>
  <c r="K319" i="2"/>
  <c r="K320" i="2"/>
  <c r="K321" i="2"/>
  <c r="K322" i="2"/>
  <c r="K323" i="2"/>
  <c r="K324" i="2"/>
  <c r="K325" i="2"/>
  <c r="K326" i="2"/>
  <c r="K327" i="2"/>
  <c r="K328" i="2"/>
  <c r="K329" i="2"/>
  <c r="K330" i="2"/>
  <c r="K331" i="2"/>
  <c r="K332" i="2"/>
  <c r="K333" i="2"/>
  <c r="K334" i="2"/>
  <c r="K335" i="2"/>
  <c r="K336" i="2"/>
  <c r="K337" i="2"/>
  <c r="K338" i="2"/>
  <c r="K339" i="2"/>
  <c r="K340" i="2"/>
  <c r="K341" i="2"/>
  <c r="K342" i="2"/>
  <c r="K343" i="2"/>
  <c r="K344" i="2"/>
  <c r="K345" i="2"/>
  <c r="K346" i="2"/>
  <c r="K347" i="2"/>
  <c r="K348" i="2"/>
  <c r="K349" i="2"/>
  <c r="K350" i="2"/>
  <c r="K351" i="2"/>
  <c r="K352" i="2"/>
  <c r="K353" i="2"/>
  <c r="K354" i="2"/>
  <c r="K355" i="2"/>
  <c r="K356" i="2"/>
  <c r="K357" i="2"/>
  <c r="K358" i="2"/>
  <c r="K359" i="2"/>
  <c r="K360" i="2"/>
  <c r="K361" i="2"/>
  <c r="K362" i="2"/>
  <c r="K363" i="2"/>
  <c r="K364" i="2"/>
  <c r="K365" i="2"/>
  <c r="K366" i="2"/>
  <c r="K367" i="2"/>
  <c r="K368" i="2"/>
  <c r="K369" i="2"/>
  <c r="K370" i="2"/>
  <c r="K371" i="2"/>
  <c r="K372" i="2"/>
  <c r="K373" i="2"/>
  <c r="K374" i="2"/>
  <c r="K375" i="2"/>
  <c r="K376" i="2"/>
  <c r="K377" i="2"/>
  <c r="K378" i="2"/>
  <c r="K379" i="2"/>
  <c r="K380" i="2"/>
  <c r="K381" i="2"/>
  <c r="K382" i="2"/>
  <c r="K383" i="2"/>
  <c r="K384" i="2"/>
  <c r="K385" i="2"/>
  <c r="K386" i="2"/>
  <c r="K387" i="2"/>
  <c r="K388" i="2"/>
  <c r="K389" i="2"/>
  <c r="K390" i="2"/>
  <c r="K391" i="2"/>
  <c r="K392" i="2"/>
  <c r="K393" i="2"/>
  <c r="K394" i="2"/>
  <c r="K395" i="2"/>
  <c r="K396" i="2"/>
  <c r="K397" i="2"/>
  <c r="K398" i="2"/>
  <c r="K399" i="2"/>
  <c r="K400" i="2"/>
  <c r="K401" i="2"/>
  <c r="K402" i="2"/>
  <c r="K403" i="2"/>
  <c r="K404" i="2"/>
  <c r="K405" i="2"/>
  <c r="K406" i="2"/>
  <c r="K407" i="2"/>
  <c r="K408" i="2"/>
  <c r="K409" i="2"/>
  <c r="K410" i="2"/>
  <c r="K411" i="2"/>
  <c r="K412" i="2"/>
  <c r="K413" i="2"/>
  <c r="K414" i="2"/>
  <c r="K415" i="2"/>
  <c r="K416" i="2"/>
  <c r="K417" i="2"/>
  <c r="K418" i="2"/>
  <c r="K419" i="2"/>
  <c r="K420" i="2"/>
  <c r="K421" i="2"/>
  <c r="K422" i="2"/>
  <c r="K423" i="2"/>
  <c r="K424" i="2"/>
  <c r="K425" i="2"/>
  <c r="K426" i="2"/>
  <c r="K427" i="2"/>
  <c r="K428" i="2"/>
  <c r="K429" i="2"/>
  <c r="K430" i="2"/>
  <c r="K431" i="2"/>
  <c r="K432" i="2"/>
  <c r="K433" i="2"/>
  <c r="K434" i="2"/>
  <c r="K435" i="2"/>
  <c r="K436" i="2"/>
  <c r="K437" i="2"/>
  <c r="K438" i="2"/>
  <c r="K439" i="2"/>
  <c r="K440" i="2"/>
  <c r="K441" i="2"/>
  <c r="K442" i="2"/>
  <c r="K443" i="2"/>
  <c r="K444" i="2"/>
  <c r="K445" i="2"/>
  <c r="K446" i="2"/>
  <c r="K447" i="2"/>
  <c r="K448" i="2"/>
  <c r="K449" i="2"/>
  <c r="K450" i="2"/>
  <c r="K451" i="2"/>
  <c r="K452" i="2"/>
  <c r="K453" i="2"/>
  <c r="K454" i="2"/>
  <c r="K455" i="2"/>
  <c r="K456" i="2"/>
  <c r="K457" i="2"/>
  <c r="K458" i="2"/>
  <c r="K459" i="2"/>
  <c r="K460" i="2"/>
  <c r="K461" i="2"/>
  <c r="K462" i="2"/>
  <c r="K463" i="2"/>
  <c r="K464" i="2"/>
  <c r="K465" i="2"/>
  <c r="K466" i="2"/>
  <c r="K467" i="2"/>
  <c r="K468" i="2"/>
  <c r="K469" i="2"/>
  <c r="K470" i="2"/>
  <c r="K471" i="2"/>
  <c r="K472" i="2"/>
  <c r="K473" i="2"/>
  <c r="K474" i="2"/>
  <c r="K475" i="2"/>
  <c r="K476" i="2"/>
  <c r="K477" i="2"/>
  <c r="K478" i="2"/>
  <c r="K479" i="2"/>
  <c r="K480" i="2"/>
  <c r="K481" i="2"/>
  <c r="K482" i="2"/>
  <c r="K483" i="2"/>
  <c r="K484" i="2"/>
  <c r="K485" i="2"/>
  <c r="K486" i="2"/>
  <c r="K487" i="2"/>
  <c r="K488" i="2"/>
  <c r="K489" i="2"/>
  <c r="K490" i="2"/>
  <c r="K491" i="2"/>
  <c r="K492" i="2"/>
  <c r="K493" i="2"/>
  <c r="K494" i="2"/>
  <c r="K495" i="2"/>
  <c r="K496" i="2"/>
  <c r="K497" i="2"/>
  <c r="K498" i="2"/>
  <c r="K499" i="2"/>
  <c r="K500" i="2"/>
  <c r="K501" i="2"/>
  <c r="K502" i="2"/>
  <c r="K503" i="2"/>
  <c r="K504" i="2"/>
  <c r="K505" i="2"/>
  <c r="K506" i="2"/>
  <c r="K507" i="2"/>
  <c r="K508" i="2"/>
  <c r="K509" i="2"/>
  <c r="K510" i="2"/>
  <c r="K511" i="2"/>
  <c r="K5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7" i="2"/>
  <c r="H318" i="2"/>
  <c r="H319" i="2"/>
  <c r="H320" i="2"/>
  <c r="H321" i="2"/>
  <c r="H322" i="2"/>
  <c r="H323" i="2"/>
  <c r="H324" i="2"/>
  <c r="H325" i="2"/>
  <c r="H326" i="2"/>
  <c r="H327" i="2"/>
  <c r="H328" i="2"/>
  <c r="H329" i="2"/>
  <c r="H330" i="2"/>
  <c r="H331" i="2"/>
  <c r="H332" i="2"/>
  <c r="H333"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1" i="2"/>
  <c r="H362" i="2"/>
  <c r="H363" i="2"/>
  <c r="H364" i="2"/>
  <c r="H365" i="2"/>
  <c r="H366" i="2"/>
  <c r="H367" i="2"/>
  <c r="H368" i="2"/>
  <c r="H369" i="2"/>
  <c r="H370" i="2"/>
  <c r="H371" i="2"/>
  <c r="H372" i="2"/>
  <c r="H373" i="2"/>
  <c r="H374" i="2"/>
  <c r="H375"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3" i="2"/>
  <c r="H404" i="2"/>
  <c r="H405" i="2"/>
  <c r="H406" i="2"/>
  <c r="H407" i="2"/>
  <c r="H408" i="2"/>
  <c r="H409" i="2"/>
  <c r="H410" i="2"/>
  <c r="H411" i="2"/>
  <c r="H412" i="2"/>
  <c r="H413" i="2"/>
  <c r="H414" i="2"/>
  <c r="H415" i="2"/>
  <c r="H416" i="2"/>
  <c r="H417" i="2"/>
  <c r="H418" i="2"/>
  <c r="H419" i="2"/>
  <c r="H420" i="2"/>
  <c r="H421" i="2"/>
  <c r="H422" i="2"/>
  <c r="H423" i="2"/>
  <c r="H424" i="2"/>
  <c r="H425" i="2"/>
  <c r="H426" i="2"/>
  <c r="H427" i="2"/>
  <c r="H428" i="2"/>
  <c r="H429" i="2"/>
  <c r="H430" i="2"/>
  <c r="H431" i="2"/>
  <c r="H432" i="2"/>
  <c r="H433" i="2"/>
  <c r="H434" i="2"/>
  <c r="H435" i="2"/>
  <c r="H436" i="2"/>
  <c r="H437" i="2"/>
  <c r="H438" i="2"/>
  <c r="H439" i="2"/>
  <c r="H440" i="2"/>
  <c r="H441" i="2"/>
  <c r="H442" i="2"/>
  <c r="H443" i="2"/>
  <c r="H444" i="2"/>
  <c r="H445" i="2"/>
  <c r="H446" i="2"/>
  <c r="H447" i="2"/>
  <c r="H448" i="2"/>
  <c r="H449" i="2"/>
  <c r="H450" i="2"/>
  <c r="H451" i="2"/>
  <c r="H452" i="2"/>
  <c r="H453" i="2"/>
  <c r="H454" i="2"/>
  <c r="H455" i="2"/>
  <c r="H456" i="2"/>
  <c r="H457" i="2"/>
  <c r="H458" i="2"/>
  <c r="H459" i="2"/>
  <c r="H460" i="2"/>
  <c r="H461"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C272" i="2"/>
  <c r="C273" i="2"/>
  <c r="C274" i="2"/>
  <c r="C275" i="2"/>
  <c r="C276" i="2"/>
  <c r="C277" i="2"/>
  <c r="C278" i="2"/>
  <c r="C279" i="2"/>
  <c r="C280" i="2"/>
  <c r="C281" i="2"/>
  <c r="C282" i="2"/>
  <c r="C283" i="2"/>
  <c r="C284" i="2"/>
  <c r="C285" i="2"/>
  <c r="C286" i="2"/>
  <c r="C287" i="2"/>
  <c r="C288" i="2"/>
  <c r="C289" i="2"/>
  <c r="C290" i="2"/>
  <c r="C291" i="2"/>
  <c r="C292" i="2"/>
  <c r="C293" i="2"/>
  <c r="C294" i="2"/>
  <c r="C295" i="2"/>
  <c r="C296" i="2"/>
  <c r="C297" i="2"/>
  <c r="C298" i="2"/>
  <c r="C299" i="2"/>
  <c r="C300" i="2"/>
  <c r="C301" i="2"/>
  <c r="C302" i="2"/>
  <c r="C303" i="2"/>
  <c r="C304" i="2"/>
  <c r="C305" i="2"/>
  <c r="C306" i="2"/>
  <c r="C307" i="2"/>
  <c r="C308" i="2"/>
  <c r="C309" i="2"/>
  <c r="C310" i="2"/>
  <c r="C311" i="2"/>
  <c r="C312" i="2"/>
  <c r="C313" i="2"/>
  <c r="C314" i="2"/>
  <c r="C315" i="2"/>
  <c r="C316" i="2"/>
  <c r="C317" i="2"/>
  <c r="C318" i="2"/>
  <c r="C319" i="2"/>
  <c r="C320" i="2"/>
  <c r="C321" i="2"/>
  <c r="C322" i="2"/>
  <c r="C323" i="2"/>
  <c r="C324" i="2"/>
  <c r="C325" i="2"/>
  <c r="C326" i="2"/>
  <c r="C327" i="2"/>
  <c r="C328" i="2"/>
  <c r="C329" i="2"/>
  <c r="C330" i="2"/>
  <c r="C331" i="2"/>
  <c r="C332" i="2"/>
  <c r="C333" i="2"/>
  <c r="C334" i="2"/>
  <c r="C335" i="2"/>
  <c r="C336" i="2"/>
  <c r="C337" i="2"/>
  <c r="C338" i="2"/>
  <c r="C339" i="2"/>
  <c r="C340" i="2"/>
  <c r="C341" i="2"/>
  <c r="C342" i="2"/>
  <c r="C343" i="2"/>
  <c r="C344" i="2"/>
  <c r="C345" i="2"/>
  <c r="C346" i="2"/>
  <c r="C347" i="2"/>
  <c r="C348" i="2"/>
  <c r="C349" i="2"/>
  <c r="C350" i="2"/>
  <c r="C351" i="2"/>
  <c r="C352" i="2"/>
  <c r="C353" i="2"/>
  <c r="C354" i="2"/>
  <c r="C355" i="2"/>
  <c r="C356" i="2"/>
  <c r="C357" i="2"/>
  <c r="C358" i="2"/>
  <c r="C359" i="2"/>
  <c r="C360" i="2"/>
  <c r="C361" i="2"/>
  <c r="C362" i="2"/>
  <c r="C363" i="2"/>
  <c r="C364" i="2"/>
  <c r="C365" i="2"/>
  <c r="C366" i="2"/>
  <c r="C367" i="2"/>
  <c r="C368" i="2"/>
  <c r="C369" i="2"/>
  <c r="C370" i="2"/>
  <c r="C371" i="2"/>
  <c r="C372" i="2"/>
  <c r="C373" i="2"/>
  <c r="C374" i="2"/>
  <c r="C375" i="2"/>
  <c r="C376" i="2"/>
  <c r="C377" i="2"/>
  <c r="C378" i="2"/>
  <c r="C379" i="2"/>
  <c r="C380" i="2"/>
  <c r="C381" i="2"/>
  <c r="C382" i="2"/>
  <c r="C383" i="2"/>
  <c r="C384" i="2"/>
  <c r="C385" i="2"/>
  <c r="C386" i="2"/>
  <c r="C387" i="2"/>
  <c r="C388" i="2"/>
  <c r="C389" i="2"/>
  <c r="C390" i="2"/>
  <c r="C391" i="2"/>
  <c r="C392" i="2"/>
  <c r="C393" i="2"/>
  <c r="C394" i="2"/>
  <c r="C395" i="2"/>
  <c r="C396" i="2"/>
  <c r="C397" i="2"/>
  <c r="C398" i="2"/>
  <c r="C399" i="2"/>
  <c r="C400" i="2"/>
  <c r="C401" i="2"/>
  <c r="C402" i="2"/>
  <c r="C403" i="2"/>
  <c r="C404" i="2"/>
  <c r="C405" i="2"/>
  <c r="C406" i="2"/>
  <c r="C407" i="2"/>
  <c r="C408" i="2"/>
  <c r="C409" i="2"/>
  <c r="C410" i="2"/>
  <c r="C411" i="2"/>
  <c r="C412" i="2"/>
  <c r="C413" i="2"/>
  <c r="C414" i="2"/>
  <c r="C415" i="2"/>
  <c r="C416" i="2"/>
  <c r="C417" i="2"/>
  <c r="C418" i="2"/>
  <c r="C419" i="2"/>
  <c r="C420" i="2"/>
  <c r="C421" i="2"/>
  <c r="C422" i="2"/>
  <c r="C423" i="2"/>
  <c r="C424" i="2"/>
  <c r="C425" i="2"/>
  <c r="C426" i="2"/>
  <c r="C427" i="2"/>
  <c r="C428" i="2"/>
  <c r="C429" i="2"/>
  <c r="C430" i="2"/>
  <c r="C431" i="2"/>
  <c r="C432" i="2"/>
  <c r="C433" i="2"/>
  <c r="C434" i="2"/>
  <c r="C435" i="2"/>
  <c r="C436" i="2"/>
  <c r="C437" i="2"/>
  <c r="C438" i="2"/>
  <c r="C439" i="2"/>
  <c r="C440" i="2"/>
  <c r="C441" i="2"/>
  <c r="C442" i="2"/>
  <c r="C443" i="2"/>
  <c r="C444" i="2"/>
  <c r="C445" i="2"/>
  <c r="C446" i="2"/>
  <c r="C447" i="2"/>
  <c r="C448" i="2"/>
  <c r="C449" i="2"/>
  <c r="C450" i="2"/>
  <c r="C451" i="2"/>
  <c r="C452" i="2"/>
  <c r="C453" i="2"/>
  <c r="C454" i="2"/>
  <c r="C455" i="2"/>
  <c r="C456" i="2"/>
  <c r="C457" i="2"/>
  <c r="C458" i="2"/>
  <c r="C459" i="2"/>
  <c r="C460" i="2"/>
  <c r="C461" i="2"/>
  <c r="C462" i="2"/>
  <c r="C463" i="2"/>
  <c r="C464" i="2"/>
  <c r="C465" i="2"/>
  <c r="C466" i="2"/>
  <c r="C467" i="2"/>
  <c r="C468" i="2"/>
  <c r="C469" i="2"/>
  <c r="C470" i="2"/>
  <c r="C471" i="2"/>
  <c r="C472" i="2"/>
  <c r="C473" i="2"/>
  <c r="C474" i="2"/>
  <c r="C475" i="2"/>
  <c r="C476" i="2"/>
  <c r="C477" i="2"/>
  <c r="C478" i="2"/>
  <c r="C479" i="2"/>
  <c r="C480" i="2"/>
  <c r="C481" i="2"/>
  <c r="C482" i="2"/>
  <c r="C483" i="2"/>
  <c r="C484" i="2"/>
  <c r="C485" i="2"/>
  <c r="C486" i="2"/>
  <c r="C487" i="2"/>
  <c r="C488" i="2"/>
  <c r="C489" i="2"/>
  <c r="C490" i="2"/>
  <c r="C491" i="2"/>
  <c r="C492" i="2"/>
  <c r="C493" i="2"/>
  <c r="C494" i="2"/>
  <c r="C495" i="2"/>
  <c r="C496" i="2"/>
  <c r="C497" i="2"/>
  <c r="C498" i="2"/>
  <c r="C499" i="2"/>
  <c r="C500" i="2"/>
  <c r="C501" i="2"/>
  <c r="C502" i="2"/>
  <c r="C503" i="2"/>
  <c r="C504" i="2"/>
  <c r="C505" i="2"/>
  <c r="C506" i="2"/>
  <c r="C507" i="2"/>
  <c r="C508" i="2"/>
  <c r="C509" i="2"/>
  <c r="C510" i="2"/>
  <c r="C511" i="2"/>
  <c r="C512" i="2"/>
  <c r="F26" i="8"/>
  <c r="F27" i="8"/>
  <c r="F28" i="8"/>
  <c r="F29"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M14" i="8" l="1"/>
  <c r="L14" i="2" s="1"/>
  <c r="M15" i="8"/>
  <c r="L15" i="2" s="1"/>
  <c r="M16" i="8"/>
  <c r="L16" i="2" s="1"/>
  <c r="M17" i="8"/>
  <c r="L17" i="2" s="1"/>
  <c r="M18" i="8"/>
  <c r="L18" i="2" s="1"/>
  <c r="M19" i="8"/>
  <c r="L19" i="2" s="1"/>
  <c r="M20" i="8"/>
  <c r="L20" i="2" s="1"/>
  <c r="M21" i="8"/>
  <c r="L21" i="2" s="1"/>
  <c r="M22" i="8"/>
  <c r="L22" i="2" s="1"/>
  <c r="M23" i="8"/>
  <c r="L23" i="2" s="1"/>
  <c r="M24" i="8"/>
  <c r="L24" i="2" s="1"/>
  <c r="M25" i="8"/>
  <c r="L25" i="2" s="1"/>
  <c r="M26" i="8"/>
  <c r="L26" i="2" s="1"/>
  <c r="M27" i="8"/>
  <c r="M28" i="8"/>
  <c r="L28" i="2" s="1"/>
  <c r="M29" i="8"/>
  <c r="L29" i="2" s="1"/>
  <c r="M30" i="8"/>
  <c r="L30" i="2" s="1"/>
  <c r="M31" i="8"/>
  <c r="L31" i="2" s="1"/>
  <c r="M32" i="8"/>
  <c r="L32" i="2" s="1"/>
  <c r="M33" i="8"/>
  <c r="L33" i="2" s="1"/>
  <c r="M34" i="8"/>
  <c r="L34" i="2" s="1"/>
  <c r="M35" i="8"/>
  <c r="L35" i="2" s="1"/>
  <c r="M36" i="8"/>
  <c r="L36" i="2" s="1"/>
  <c r="M37" i="8"/>
  <c r="L37" i="2" s="1"/>
  <c r="M38" i="8"/>
  <c r="L38" i="2" s="1"/>
  <c r="M39" i="8"/>
  <c r="L39" i="2" s="1"/>
  <c r="M40" i="8"/>
  <c r="L40" i="2" s="1"/>
  <c r="M41" i="8"/>
  <c r="L41" i="2" s="1"/>
  <c r="M42" i="8"/>
  <c r="L42" i="2" s="1"/>
  <c r="M43" i="8"/>
  <c r="L43" i="2" s="1"/>
  <c r="M44" i="8"/>
  <c r="L44" i="2" s="1"/>
  <c r="M45" i="8"/>
  <c r="L45" i="2" s="1"/>
  <c r="M46" i="8"/>
  <c r="L46" i="2" s="1"/>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M274" i="8"/>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347" i="8"/>
  <c r="M348" i="8"/>
  <c r="M349" i="8"/>
  <c r="M350" i="8"/>
  <c r="M351" i="8"/>
  <c r="M352" i="8"/>
  <c r="M353" i="8"/>
  <c r="M354" i="8"/>
  <c r="M355" i="8"/>
  <c r="M356" i="8"/>
  <c r="M357" i="8"/>
  <c r="M358" i="8"/>
  <c r="M359" i="8"/>
  <c r="M360" i="8"/>
  <c r="M361" i="8"/>
  <c r="M362" i="8"/>
  <c r="M363" i="8"/>
  <c r="M364" i="8"/>
  <c r="M365" i="8"/>
  <c r="M366" i="8"/>
  <c r="M367" i="8"/>
  <c r="M368" i="8"/>
  <c r="M369" i="8"/>
  <c r="M370" i="8"/>
  <c r="M371" i="8"/>
  <c r="M372" i="8"/>
  <c r="M373" i="8"/>
  <c r="M374" i="8"/>
  <c r="M375" i="8"/>
  <c r="M376" i="8"/>
  <c r="M377" i="8"/>
  <c r="M378" i="8"/>
  <c r="M379" i="8"/>
  <c r="M380" i="8"/>
  <c r="M381" i="8"/>
  <c r="M382" i="8"/>
  <c r="M383" i="8"/>
  <c r="M384" i="8"/>
  <c r="M385" i="8"/>
  <c r="M386" i="8"/>
  <c r="M387" i="8"/>
  <c r="M388" i="8"/>
  <c r="M389" i="8"/>
  <c r="M390" i="8"/>
  <c r="M391" i="8"/>
  <c r="M392" i="8"/>
  <c r="M393" i="8"/>
  <c r="M394" i="8"/>
  <c r="M395" i="8"/>
  <c r="M396" i="8"/>
  <c r="M397" i="8"/>
  <c r="M398" i="8"/>
  <c r="M399" i="8"/>
  <c r="M400" i="8"/>
  <c r="M401" i="8"/>
  <c r="M402" i="8"/>
  <c r="M403" i="8"/>
  <c r="M404" i="8"/>
  <c r="M405" i="8"/>
  <c r="M406" i="8"/>
  <c r="M407" i="8"/>
  <c r="M408" i="8"/>
  <c r="M409" i="8"/>
  <c r="M410" i="8"/>
  <c r="M411" i="8"/>
  <c r="M412" i="8"/>
  <c r="M413" i="8"/>
  <c r="M414" i="8"/>
  <c r="M415" i="8"/>
  <c r="M416" i="8"/>
  <c r="M417" i="8"/>
  <c r="M418" i="8"/>
  <c r="M419" i="8"/>
  <c r="M420" i="8"/>
  <c r="M421" i="8"/>
  <c r="M422" i="8"/>
  <c r="M423" i="8"/>
  <c r="M424" i="8"/>
  <c r="M425" i="8"/>
  <c r="M426" i="8"/>
  <c r="M427" i="8"/>
  <c r="M428" i="8"/>
  <c r="M429" i="8"/>
  <c r="M430" i="8"/>
  <c r="M431" i="8"/>
  <c r="M432" i="8"/>
  <c r="M433" i="8"/>
  <c r="M434" i="8"/>
  <c r="M435" i="8"/>
  <c r="M436" i="8"/>
  <c r="M437" i="8"/>
  <c r="M438" i="8"/>
  <c r="M439" i="8"/>
  <c r="M440" i="8"/>
  <c r="M441" i="8"/>
  <c r="M442" i="8"/>
  <c r="M443" i="8"/>
  <c r="M444" i="8"/>
  <c r="M445" i="8"/>
  <c r="M446" i="8"/>
  <c r="M447" i="8"/>
  <c r="M448" i="8"/>
  <c r="M449" i="8"/>
  <c r="M450" i="8"/>
  <c r="M451" i="8"/>
  <c r="M452" i="8"/>
  <c r="M453" i="8"/>
  <c r="M454" i="8"/>
  <c r="M455" i="8"/>
  <c r="M456" i="8"/>
  <c r="M457" i="8"/>
  <c r="M458" i="8"/>
  <c r="M459" i="8"/>
  <c r="M460" i="8"/>
  <c r="M461" i="8"/>
  <c r="M462" i="8"/>
  <c r="M463" i="8"/>
  <c r="M464" i="8"/>
  <c r="M465" i="8"/>
  <c r="M466" i="8"/>
  <c r="M467" i="8"/>
  <c r="M468" i="8"/>
  <c r="M469" i="8"/>
  <c r="M470" i="8"/>
  <c r="M471" i="8"/>
  <c r="M472" i="8"/>
  <c r="M473" i="8"/>
  <c r="M474" i="8"/>
  <c r="M475" i="8"/>
  <c r="M476" i="8"/>
  <c r="M477" i="8"/>
  <c r="M478" i="8"/>
  <c r="M479" i="8"/>
  <c r="M480" i="8"/>
  <c r="M481" i="8"/>
  <c r="M482" i="8"/>
  <c r="M483" i="8"/>
  <c r="M484" i="8"/>
  <c r="M485" i="8"/>
  <c r="M486" i="8"/>
  <c r="M487" i="8"/>
  <c r="M488" i="8"/>
  <c r="M489" i="8"/>
  <c r="M490" i="8"/>
  <c r="M491" i="8"/>
  <c r="M492" i="8"/>
  <c r="M493" i="8"/>
  <c r="M494" i="8"/>
  <c r="M495" i="8"/>
  <c r="M496" i="8"/>
  <c r="M497" i="8"/>
  <c r="M498" i="8"/>
  <c r="M499" i="8"/>
  <c r="M500" i="8"/>
  <c r="M501" i="8"/>
  <c r="M502" i="8"/>
  <c r="M503" i="8"/>
  <c r="M504" i="8"/>
  <c r="M505" i="8"/>
  <c r="M506" i="8"/>
  <c r="M507" i="8"/>
  <c r="M508" i="8"/>
  <c r="M509" i="8"/>
  <c r="M510" i="8"/>
  <c r="M511" i="8"/>
  <c r="L511" i="2" s="1"/>
  <c r="M512" i="8"/>
  <c r="L512" i="2" s="1"/>
  <c r="M13" i="8"/>
  <c r="L13" i="2" s="1"/>
  <c r="C14" i="2"/>
  <c r="C15" i="2"/>
  <c r="C16" i="2"/>
  <c r="C17" i="2"/>
  <c r="C18" i="2"/>
  <c r="C19" i="2"/>
  <c r="C20" i="2"/>
  <c r="C21" i="2"/>
  <c r="C22" i="2"/>
  <c r="C23" i="2"/>
  <c r="C24" i="2"/>
  <c r="C25" i="2"/>
  <c r="C13" i="2" l="1"/>
  <c r="F13" i="8"/>
  <c r="D13" i="2"/>
  <c r="E13" i="2" s="1"/>
  <c r="D14" i="2"/>
  <c r="E14" i="2" s="1"/>
  <c r="D15" i="2"/>
  <c r="E15" i="2" s="1"/>
  <c r="D16" i="2"/>
  <c r="E16" i="2" s="1"/>
  <c r="D17" i="2"/>
  <c r="E17" i="2" s="1"/>
  <c r="D18" i="2"/>
  <c r="E18" i="2" s="1"/>
  <c r="D19" i="2"/>
  <c r="E19" i="2" s="1"/>
  <c r="D20" i="2"/>
  <c r="E20" i="2" s="1"/>
  <c r="D21" i="2"/>
  <c r="E21" i="2" s="1"/>
  <c r="D22" i="2"/>
  <c r="E22" i="2" s="1"/>
  <c r="D23" i="2"/>
  <c r="E23" i="2" s="1"/>
  <c r="D24" i="2"/>
  <c r="E24" i="2" s="1"/>
  <c r="D25" i="2"/>
  <c r="E25" i="2" s="1"/>
  <c r="D26" i="2"/>
  <c r="E26" i="2" s="1"/>
  <c r="D27" i="2"/>
  <c r="E27" i="2" s="1"/>
  <c r="D28" i="2"/>
  <c r="E28" i="2" s="1"/>
  <c r="D29" i="2"/>
  <c r="E29" i="2" s="1"/>
  <c r="D30" i="2"/>
  <c r="E30" i="2" s="1"/>
  <c r="D31" i="2"/>
  <c r="E31" i="2" s="1"/>
  <c r="D32" i="2"/>
  <c r="E32" i="2" s="1"/>
  <c r="D33" i="2"/>
  <c r="E33" i="2" s="1"/>
  <c r="D34" i="2"/>
  <c r="E34" i="2" s="1"/>
  <c r="D35" i="2"/>
  <c r="E35" i="2" s="1"/>
  <c r="D36" i="2"/>
  <c r="E36" i="2" s="1"/>
  <c r="D37" i="2"/>
  <c r="E37" i="2" s="1"/>
  <c r="D38" i="2"/>
  <c r="E38" i="2" s="1"/>
  <c r="D39" i="2"/>
  <c r="E39" i="2" s="1"/>
  <c r="D40" i="2"/>
  <c r="E40" i="2" s="1"/>
  <c r="D41" i="2"/>
  <c r="E41" i="2" s="1"/>
  <c r="D42" i="2"/>
  <c r="E42" i="2" s="1"/>
  <c r="D43" i="2"/>
  <c r="E43" i="2" s="1"/>
  <c r="D44" i="2"/>
  <c r="E44" i="2" s="1"/>
  <c r="D45" i="2"/>
  <c r="E45" i="2" s="1"/>
  <c r="D46" i="2"/>
  <c r="E46" i="2" s="1"/>
  <c r="D47" i="2"/>
  <c r="E47" i="2" s="1"/>
  <c r="D48" i="2"/>
  <c r="E48" i="2" s="1"/>
  <c r="D49" i="2"/>
  <c r="E49" i="2" s="1"/>
  <c r="D50" i="2"/>
  <c r="E50" i="2" s="1"/>
  <c r="D51" i="2"/>
  <c r="E51" i="2" s="1"/>
  <c r="D52" i="2"/>
  <c r="E52" i="2" s="1"/>
  <c r="D53" i="2"/>
  <c r="E53" i="2" s="1"/>
  <c r="D54" i="2"/>
  <c r="E54" i="2" s="1"/>
  <c r="D55" i="2"/>
  <c r="E55" i="2" s="1"/>
  <c r="D56" i="2"/>
  <c r="E56" i="2" s="1"/>
  <c r="D57" i="2"/>
  <c r="E57" i="2" s="1"/>
  <c r="D58" i="2"/>
  <c r="E58" i="2" s="1"/>
  <c r="D59" i="2"/>
  <c r="E59" i="2" s="1"/>
  <c r="D60" i="2"/>
  <c r="E60" i="2" s="1"/>
  <c r="D61" i="2"/>
  <c r="E61" i="2" s="1"/>
  <c r="D62" i="2"/>
  <c r="E62" i="2" s="1"/>
  <c r="D63" i="2"/>
  <c r="E63" i="2" s="1"/>
  <c r="D64" i="2"/>
  <c r="E64" i="2" s="1"/>
  <c r="D65" i="2"/>
  <c r="E65" i="2" s="1"/>
  <c r="D66" i="2"/>
  <c r="E66" i="2" s="1"/>
  <c r="D67" i="2"/>
  <c r="E67" i="2" s="1"/>
  <c r="D68" i="2"/>
  <c r="E68" i="2" s="1"/>
  <c r="D69" i="2"/>
  <c r="E69" i="2" s="1"/>
  <c r="D70" i="2"/>
  <c r="E70" i="2" s="1"/>
  <c r="D71" i="2"/>
  <c r="E71" i="2" s="1"/>
  <c r="D72" i="2"/>
  <c r="E72" i="2" s="1"/>
  <c r="D73" i="2"/>
  <c r="E73" i="2" s="1"/>
  <c r="D74" i="2"/>
  <c r="E74" i="2" s="1"/>
  <c r="D75" i="2"/>
  <c r="E75" i="2" s="1"/>
  <c r="D76" i="2"/>
  <c r="E76" i="2" s="1"/>
  <c r="D77" i="2"/>
  <c r="E77" i="2" s="1"/>
  <c r="D78" i="2"/>
  <c r="E78" i="2" s="1"/>
  <c r="D79" i="2"/>
  <c r="E79" i="2" s="1"/>
  <c r="D80" i="2"/>
  <c r="E80" i="2" s="1"/>
  <c r="D81" i="2"/>
  <c r="E81" i="2" s="1"/>
  <c r="D82" i="2"/>
  <c r="E82" i="2" s="1"/>
  <c r="D83" i="2"/>
  <c r="E83" i="2" s="1"/>
  <c r="D84" i="2"/>
  <c r="E84" i="2" s="1"/>
  <c r="D85" i="2"/>
  <c r="E85" i="2" s="1"/>
  <c r="D86" i="2"/>
  <c r="E86" i="2" s="1"/>
  <c r="D87" i="2"/>
  <c r="E87" i="2" s="1"/>
  <c r="D88" i="2"/>
  <c r="E88" i="2" s="1"/>
  <c r="D89" i="2"/>
  <c r="E89" i="2" s="1"/>
  <c r="D90" i="2"/>
  <c r="E90" i="2" s="1"/>
  <c r="D91" i="2"/>
  <c r="E91" i="2" s="1"/>
  <c r="D92" i="2"/>
  <c r="E92" i="2" s="1"/>
  <c r="D93" i="2"/>
  <c r="E93" i="2" s="1"/>
  <c r="D94" i="2"/>
  <c r="E94" i="2" s="1"/>
  <c r="D95" i="2"/>
  <c r="E95" i="2" s="1"/>
  <c r="D96" i="2"/>
  <c r="E96" i="2" s="1"/>
  <c r="D97" i="2"/>
  <c r="E97" i="2" s="1"/>
  <c r="D98" i="2"/>
  <c r="E98" i="2" s="1"/>
  <c r="D99" i="2"/>
  <c r="E99" i="2" s="1"/>
  <c r="D100" i="2"/>
  <c r="E100" i="2" s="1"/>
  <c r="D101" i="2"/>
  <c r="E101" i="2" s="1"/>
  <c r="D102" i="2"/>
  <c r="E102" i="2" s="1"/>
  <c r="D103" i="2"/>
  <c r="E103" i="2" s="1"/>
  <c r="D104" i="2"/>
  <c r="E104" i="2" s="1"/>
  <c r="D105" i="2"/>
  <c r="E105" i="2" s="1"/>
  <c r="D106" i="2"/>
  <c r="E106" i="2" s="1"/>
  <c r="D107" i="2"/>
  <c r="E107" i="2" s="1"/>
  <c r="D108" i="2"/>
  <c r="E108" i="2" s="1"/>
  <c r="D109" i="2"/>
  <c r="E109" i="2" s="1"/>
  <c r="D110" i="2"/>
  <c r="E110" i="2" s="1"/>
  <c r="D111" i="2"/>
  <c r="E111" i="2" s="1"/>
  <c r="D112" i="2"/>
  <c r="E112" i="2" s="1"/>
  <c r="D113" i="2"/>
  <c r="E113" i="2" s="1"/>
  <c r="D114" i="2"/>
  <c r="E114" i="2" s="1"/>
  <c r="D115" i="2"/>
  <c r="E115" i="2" s="1"/>
  <c r="D116" i="2"/>
  <c r="E116" i="2" s="1"/>
  <c r="D117" i="2"/>
  <c r="E117" i="2" s="1"/>
  <c r="D118" i="2"/>
  <c r="E118" i="2" s="1"/>
  <c r="D119" i="2"/>
  <c r="E119" i="2" s="1"/>
  <c r="D120" i="2"/>
  <c r="E120" i="2" s="1"/>
  <c r="D121" i="2"/>
  <c r="E121" i="2" s="1"/>
  <c r="D122" i="2"/>
  <c r="E122" i="2" s="1"/>
  <c r="D123" i="2"/>
  <c r="E123" i="2" s="1"/>
  <c r="D124" i="2"/>
  <c r="E124" i="2" s="1"/>
  <c r="D125" i="2"/>
  <c r="E125" i="2" s="1"/>
  <c r="D126" i="2"/>
  <c r="E126" i="2" s="1"/>
  <c r="D127" i="2"/>
  <c r="E127" i="2" s="1"/>
  <c r="D128" i="2"/>
  <c r="E128" i="2" s="1"/>
  <c r="D129" i="2"/>
  <c r="E129" i="2" s="1"/>
  <c r="D130" i="2"/>
  <c r="E130" i="2" s="1"/>
  <c r="D131" i="2"/>
  <c r="E131" i="2" s="1"/>
  <c r="D132" i="2"/>
  <c r="E132" i="2" s="1"/>
  <c r="D133" i="2"/>
  <c r="E133" i="2" s="1"/>
  <c r="D134" i="2"/>
  <c r="E134" i="2" s="1"/>
  <c r="D135" i="2"/>
  <c r="E135" i="2" s="1"/>
  <c r="D136" i="2"/>
  <c r="E136" i="2" s="1"/>
  <c r="D137" i="2"/>
  <c r="E137" i="2" s="1"/>
  <c r="D138" i="2"/>
  <c r="E138" i="2" s="1"/>
  <c r="D139" i="2"/>
  <c r="E139" i="2" s="1"/>
  <c r="D140" i="2"/>
  <c r="E140" i="2" s="1"/>
  <c r="D141" i="2"/>
  <c r="E141" i="2" s="1"/>
  <c r="D142" i="2"/>
  <c r="E142" i="2" s="1"/>
  <c r="D143" i="2"/>
  <c r="E143" i="2" s="1"/>
  <c r="D144" i="2"/>
  <c r="E144" i="2" s="1"/>
  <c r="D145" i="2"/>
  <c r="E145" i="2" s="1"/>
  <c r="D146" i="2"/>
  <c r="E146" i="2" s="1"/>
  <c r="D147" i="2"/>
  <c r="E147" i="2" s="1"/>
  <c r="D148" i="2"/>
  <c r="E148" i="2" s="1"/>
  <c r="D149" i="2"/>
  <c r="E149" i="2" s="1"/>
  <c r="D150" i="2"/>
  <c r="E150" i="2" s="1"/>
  <c r="D151" i="2"/>
  <c r="E151" i="2" s="1"/>
  <c r="D152" i="2"/>
  <c r="E152" i="2" s="1"/>
  <c r="D153" i="2"/>
  <c r="E153" i="2" s="1"/>
  <c r="D154" i="2"/>
  <c r="E154" i="2" s="1"/>
  <c r="D155" i="2"/>
  <c r="E155" i="2" s="1"/>
  <c r="D156" i="2"/>
  <c r="E156" i="2" s="1"/>
  <c r="D157" i="2"/>
  <c r="E157" i="2" s="1"/>
  <c r="D158" i="2"/>
  <c r="E158" i="2" s="1"/>
  <c r="D159" i="2"/>
  <c r="E159" i="2" s="1"/>
  <c r="D160" i="2"/>
  <c r="E160" i="2" s="1"/>
  <c r="D161" i="2"/>
  <c r="E161" i="2" s="1"/>
  <c r="D162" i="2"/>
  <c r="E162" i="2" s="1"/>
  <c r="D163" i="2"/>
  <c r="E163" i="2" s="1"/>
  <c r="D164" i="2"/>
  <c r="E164" i="2" s="1"/>
  <c r="D165" i="2"/>
  <c r="E165" i="2" s="1"/>
  <c r="D166" i="2"/>
  <c r="E166" i="2" s="1"/>
  <c r="D167" i="2"/>
  <c r="E167" i="2" s="1"/>
  <c r="D168" i="2"/>
  <c r="E168" i="2" s="1"/>
  <c r="D169" i="2"/>
  <c r="E169" i="2" s="1"/>
  <c r="D170" i="2"/>
  <c r="E170" i="2" s="1"/>
  <c r="D171" i="2"/>
  <c r="E171" i="2" s="1"/>
  <c r="D172" i="2"/>
  <c r="E172" i="2" s="1"/>
  <c r="D173" i="2"/>
  <c r="E173" i="2" s="1"/>
  <c r="D174" i="2"/>
  <c r="E174" i="2" s="1"/>
  <c r="D175" i="2"/>
  <c r="E175" i="2" s="1"/>
  <c r="D176" i="2"/>
  <c r="E176" i="2" s="1"/>
  <c r="D177" i="2"/>
  <c r="E177" i="2" s="1"/>
  <c r="D178" i="2"/>
  <c r="E178" i="2" s="1"/>
  <c r="D179" i="2"/>
  <c r="E179" i="2" s="1"/>
  <c r="D180" i="2"/>
  <c r="E180" i="2" s="1"/>
  <c r="D181" i="2"/>
  <c r="E181" i="2" s="1"/>
  <c r="D182" i="2"/>
  <c r="E182" i="2" s="1"/>
  <c r="D183" i="2"/>
  <c r="E183" i="2" s="1"/>
  <c r="D184" i="2"/>
  <c r="E184" i="2" s="1"/>
  <c r="D185" i="2"/>
  <c r="E185" i="2" s="1"/>
  <c r="D186" i="2"/>
  <c r="E186" i="2" s="1"/>
  <c r="D187" i="2"/>
  <c r="E187" i="2" s="1"/>
  <c r="D188" i="2"/>
  <c r="E188" i="2" s="1"/>
  <c r="D189" i="2"/>
  <c r="E189" i="2" s="1"/>
  <c r="D190" i="2"/>
  <c r="E190" i="2" s="1"/>
  <c r="D191" i="2"/>
  <c r="E191" i="2" s="1"/>
  <c r="D192" i="2"/>
  <c r="E192" i="2" s="1"/>
  <c r="D193" i="2"/>
  <c r="E193" i="2" s="1"/>
  <c r="D194" i="2"/>
  <c r="E194" i="2" s="1"/>
  <c r="D195" i="2"/>
  <c r="E195" i="2" s="1"/>
  <c r="D196" i="2"/>
  <c r="E196" i="2" s="1"/>
  <c r="D197" i="2"/>
  <c r="E197" i="2" s="1"/>
  <c r="D198" i="2"/>
  <c r="E198" i="2" s="1"/>
  <c r="D199" i="2"/>
  <c r="E199" i="2" s="1"/>
  <c r="D200" i="2"/>
  <c r="E200" i="2" s="1"/>
  <c r="D201" i="2"/>
  <c r="E201" i="2" s="1"/>
  <c r="D202" i="2"/>
  <c r="E202" i="2" s="1"/>
  <c r="D203" i="2"/>
  <c r="E203" i="2" s="1"/>
  <c r="D204" i="2"/>
  <c r="E204" i="2" s="1"/>
  <c r="D205" i="2"/>
  <c r="E205" i="2" s="1"/>
  <c r="D206" i="2"/>
  <c r="E206" i="2" s="1"/>
  <c r="D207" i="2"/>
  <c r="E207" i="2" s="1"/>
  <c r="D208" i="2"/>
  <c r="E208" i="2" s="1"/>
  <c r="D209" i="2"/>
  <c r="E209" i="2" s="1"/>
  <c r="D210" i="2"/>
  <c r="E210" i="2" s="1"/>
  <c r="D211" i="2"/>
  <c r="E211" i="2" s="1"/>
  <c r="D212" i="2"/>
  <c r="E212" i="2" s="1"/>
  <c r="D213" i="2"/>
  <c r="E213" i="2" s="1"/>
  <c r="D214" i="2"/>
  <c r="E214" i="2" s="1"/>
  <c r="D215" i="2"/>
  <c r="E215" i="2" s="1"/>
  <c r="D216" i="2"/>
  <c r="E216" i="2" s="1"/>
  <c r="D217" i="2"/>
  <c r="E217" i="2" s="1"/>
  <c r="D218" i="2"/>
  <c r="E218" i="2" s="1"/>
  <c r="D219" i="2"/>
  <c r="E219" i="2" s="1"/>
  <c r="D220" i="2"/>
  <c r="E220" i="2" s="1"/>
  <c r="D221" i="2"/>
  <c r="E221" i="2" s="1"/>
  <c r="D222" i="2"/>
  <c r="E222" i="2" s="1"/>
  <c r="D223" i="2"/>
  <c r="E223" i="2" s="1"/>
  <c r="D224" i="2"/>
  <c r="E224" i="2" s="1"/>
  <c r="D225" i="2"/>
  <c r="E225" i="2" s="1"/>
  <c r="D226" i="2"/>
  <c r="E226" i="2" s="1"/>
  <c r="D227" i="2"/>
  <c r="E227" i="2" s="1"/>
  <c r="D228" i="2"/>
  <c r="E228" i="2" s="1"/>
  <c r="D229" i="2"/>
  <c r="E229" i="2" s="1"/>
  <c r="D230" i="2"/>
  <c r="E230" i="2" s="1"/>
  <c r="D231" i="2"/>
  <c r="E231" i="2" s="1"/>
  <c r="D232" i="2"/>
  <c r="E232" i="2" s="1"/>
  <c r="D233" i="2"/>
  <c r="E233" i="2" s="1"/>
  <c r="D234" i="2"/>
  <c r="E234" i="2" s="1"/>
  <c r="D235" i="2"/>
  <c r="E235" i="2" s="1"/>
  <c r="D236" i="2"/>
  <c r="E236" i="2" s="1"/>
  <c r="D237" i="2"/>
  <c r="E237" i="2" s="1"/>
  <c r="D238" i="2"/>
  <c r="E238" i="2" s="1"/>
  <c r="D239" i="2"/>
  <c r="E239" i="2" s="1"/>
  <c r="D240" i="2"/>
  <c r="E240" i="2" s="1"/>
  <c r="D241" i="2"/>
  <c r="E241" i="2" s="1"/>
  <c r="D242" i="2"/>
  <c r="E242" i="2" s="1"/>
  <c r="D243" i="2"/>
  <c r="E243" i="2" s="1"/>
  <c r="D244" i="2"/>
  <c r="E244" i="2" s="1"/>
  <c r="D245" i="2"/>
  <c r="E245" i="2" s="1"/>
  <c r="D246" i="2"/>
  <c r="E246" i="2" s="1"/>
  <c r="D247" i="2"/>
  <c r="E247" i="2" s="1"/>
  <c r="D248" i="2"/>
  <c r="E248" i="2" s="1"/>
  <c r="D249" i="2"/>
  <c r="E249" i="2" s="1"/>
  <c r="D250" i="2"/>
  <c r="E250" i="2" s="1"/>
  <c r="D251" i="2"/>
  <c r="E251" i="2" s="1"/>
  <c r="D252" i="2"/>
  <c r="E252" i="2" s="1"/>
  <c r="D253" i="2"/>
  <c r="E253" i="2" s="1"/>
  <c r="D254" i="2"/>
  <c r="E254" i="2" s="1"/>
  <c r="D255" i="2"/>
  <c r="E255" i="2" s="1"/>
  <c r="D256" i="2"/>
  <c r="E256" i="2" s="1"/>
  <c r="D257" i="2"/>
  <c r="E257" i="2" s="1"/>
  <c r="D258" i="2"/>
  <c r="E258" i="2" s="1"/>
  <c r="D259" i="2"/>
  <c r="E259" i="2" s="1"/>
  <c r="D260" i="2"/>
  <c r="E260" i="2" s="1"/>
  <c r="D261" i="2"/>
  <c r="E261" i="2" s="1"/>
  <c r="D262" i="2"/>
  <c r="E262" i="2" s="1"/>
  <c r="D263" i="2"/>
  <c r="E263" i="2" s="1"/>
  <c r="D264" i="2"/>
  <c r="E264" i="2" s="1"/>
  <c r="D265" i="2"/>
  <c r="E265" i="2" s="1"/>
  <c r="D266" i="2"/>
  <c r="E266" i="2" s="1"/>
  <c r="D267" i="2"/>
  <c r="E267" i="2" s="1"/>
  <c r="D268" i="2"/>
  <c r="E268" i="2" s="1"/>
  <c r="D269" i="2"/>
  <c r="E269" i="2" s="1"/>
  <c r="D270" i="2"/>
  <c r="E270" i="2" s="1"/>
  <c r="D271" i="2"/>
  <c r="E271" i="2" s="1"/>
  <c r="D272" i="2"/>
  <c r="E272" i="2" s="1"/>
  <c r="D273" i="2"/>
  <c r="E273" i="2" s="1"/>
  <c r="D274" i="2"/>
  <c r="E274" i="2" s="1"/>
  <c r="D275" i="2"/>
  <c r="E275" i="2" s="1"/>
  <c r="D276" i="2"/>
  <c r="E276" i="2" s="1"/>
  <c r="D277" i="2"/>
  <c r="E277" i="2" s="1"/>
  <c r="D278" i="2"/>
  <c r="E278" i="2" s="1"/>
  <c r="D279" i="2"/>
  <c r="E279" i="2" s="1"/>
  <c r="D280" i="2"/>
  <c r="E280" i="2" s="1"/>
  <c r="D281" i="2"/>
  <c r="E281" i="2" s="1"/>
  <c r="D282" i="2"/>
  <c r="E282" i="2" s="1"/>
  <c r="D283" i="2"/>
  <c r="E283" i="2" s="1"/>
  <c r="D284" i="2"/>
  <c r="E284" i="2" s="1"/>
  <c r="D285" i="2"/>
  <c r="E285" i="2" s="1"/>
  <c r="D286" i="2"/>
  <c r="E286" i="2" s="1"/>
  <c r="D287" i="2"/>
  <c r="E287" i="2" s="1"/>
  <c r="D288" i="2"/>
  <c r="E288" i="2" s="1"/>
  <c r="D289" i="2"/>
  <c r="E289" i="2" s="1"/>
  <c r="D290" i="2"/>
  <c r="E290" i="2" s="1"/>
  <c r="D291" i="2"/>
  <c r="E291" i="2" s="1"/>
  <c r="D292" i="2"/>
  <c r="E292" i="2" s="1"/>
  <c r="D293" i="2"/>
  <c r="E293" i="2" s="1"/>
  <c r="D294" i="2"/>
  <c r="E294" i="2" s="1"/>
  <c r="D295" i="2"/>
  <c r="E295" i="2" s="1"/>
  <c r="D296" i="2"/>
  <c r="E296" i="2" s="1"/>
  <c r="D297" i="2"/>
  <c r="E297" i="2" s="1"/>
  <c r="D298" i="2"/>
  <c r="E298" i="2" s="1"/>
  <c r="D299" i="2"/>
  <c r="E299" i="2" s="1"/>
  <c r="D300" i="2"/>
  <c r="E300" i="2" s="1"/>
  <c r="D301" i="2"/>
  <c r="E301" i="2" s="1"/>
  <c r="D302" i="2"/>
  <c r="E302" i="2" s="1"/>
  <c r="D303" i="2"/>
  <c r="E303" i="2" s="1"/>
  <c r="D304" i="2"/>
  <c r="E304" i="2" s="1"/>
  <c r="D305" i="2"/>
  <c r="E305" i="2" s="1"/>
  <c r="D306" i="2"/>
  <c r="E306" i="2" s="1"/>
  <c r="D307" i="2"/>
  <c r="E307" i="2" s="1"/>
  <c r="D308" i="2"/>
  <c r="E308" i="2" s="1"/>
  <c r="D309" i="2"/>
  <c r="E309" i="2" s="1"/>
  <c r="D310" i="2"/>
  <c r="E310" i="2" s="1"/>
  <c r="D311" i="2"/>
  <c r="E311" i="2" s="1"/>
  <c r="D312" i="2"/>
  <c r="E312" i="2" s="1"/>
  <c r="D313" i="2"/>
  <c r="E313" i="2" s="1"/>
  <c r="D314" i="2"/>
  <c r="E314" i="2" s="1"/>
  <c r="D315" i="2"/>
  <c r="E315" i="2" s="1"/>
  <c r="D316" i="2"/>
  <c r="E316" i="2" s="1"/>
  <c r="D317" i="2"/>
  <c r="E317" i="2" s="1"/>
  <c r="D318" i="2"/>
  <c r="E318" i="2" s="1"/>
  <c r="D319" i="2"/>
  <c r="E319" i="2" s="1"/>
  <c r="D320" i="2"/>
  <c r="E320" i="2" s="1"/>
  <c r="D321" i="2"/>
  <c r="E321" i="2" s="1"/>
  <c r="D322" i="2"/>
  <c r="E322" i="2" s="1"/>
  <c r="D323" i="2"/>
  <c r="E323" i="2" s="1"/>
  <c r="D324" i="2"/>
  <c r="E324" i="2" s="1"/>
  <c r="D325" i="2"/>
  <c r="E325" i="2" s="1"/>
  <c r="D326" i="2"/>
  <c r="E326" i="2" s="1"/>
  <c r="D327" i="2"/>
  <c r="E327" i="2" s="1"/>
  <c r="D328" i="2"/>
  <c r="E328" i="2" s="1"/>
  <c r="D329" i="2"/>
  <c r="E329" i="2" s="1"/>
  <c r="D330" i="2"/>
  <c r="E330" i="2" s="1"/>
  <c r="D331" i="2"/>
  <c r="E331" i="2" s="1"/>
  <c r="D332" i="2"/>
  <c r="E332" i="2" s="1"/>
  <c r="D333" i="2"/>
  <c r="E333" i="2" s="1"/>
  <c r="D334" i="2"/>
  <c r="E334" i="2" s="1"/>
  <c r="D335" i="2"/>
  <c r="E335" i="2" s="1"/>
  <c r="D336" i="2"/>
  <c r="E336" i="2" s="1"/>
  <c r="D337" i="2"/>
  <c r="E337" i="2" s="1"/>
  <c r="D338" i="2"/>
  <c r="E338" i="2" s="1"/>
  <c r="D339" i="2"/>
  <c r="E339" i="2" s="1"/>
  <c r="D340" i="2"/>
  <c r="E340" i="2" s="1"/>
  <c r="D341" i="2"/>
  <c r="E341" i="2" s="1"/>
  <c r="D342" i="2"/>
  <c r="E342" i="2" s="1"/>
  <c r="D343" i="2"/>
  <c r="E343" i="2" s="1"/>
  <c r="D344" i="2"/>
  <c r="E344" i="2" s="1"/>
  <c r="D345" i="2"/>
  <c r="E345" i="2" s="1"/>
  <c r="D346" i="2"/>
  <c r="E346" i="2" s="1"/>
  <c r="D347" i="2"/>
  <c r="E347" i="2" s="1"/>
  <c r="D348" i="2"/>
  <c r="E348" i="2" s="1"/>
  <c r="D349" i="2"/>
  <c r="E349" i="2" s="1"/>
  <c r="D350" i="2"/>
  <c r="E350" i="2" s="1"/>
  <c r="D351" i="2"/>
  <c r="E351" i="2" s="1"/>
  <c r="D352" i="2"/>
  <c r="E352" i="2" s="1"/>
  <c r="D353" i="2"/>
  <c r="E353" i="2" s="1"/>
  <c r="D354" i="2"/>
  <c r="E354" i="2" s="1"/>
  <c r="D355" i="2"/>
  <c r="E355" i="2" s="1"/>
  <c r="D356" i="2"/>
  <c r="E356" i="2" s="1"/>
  <c r="D357" i="2"/>
  <c r="E357" i="2" s="1"/>
  <c r="D358" i="2"/>
  <c r="E358" i="2" s="1"/>
  <c r="D359" i="2"/>
  <c r="E359" i="2" s="1"/>
  <c r="D360" i="2"/>
  <c r="E360" i="2" s="1"/>
  <c r="D361" i="2"/>
  <c r="E361" i="2" s="1"/>
  <c r="D362" i="2"/>
  <c r="E362" i="2" s="1"/>
  <c r="D363" i="2"/>
  <c r="E363" i="2" s="1"/>
  <c r="D364" i="2"/>
  <c r="E364" i="2" s="1"/>
  <c r="D365" i="2"/>
  <c r="E365" i="2" s="1"/>
  <c r="D366" i="2"/>
  <c r="E366" i="2" s="1"/>
  <c r="D367" i="2"/>
  <c r="E367" i="2" s="1"/>
  <c r="D368" i="2"/>
  <c r="E368" i="2" s="1"/>
  <c r="D369" i="2"/>
  <c r="E369" i="2" s="1"/>
  <c r="D370" i="2"/>
  <c r="E370" i="2" s="1"/>
  <c r="D371" i="2"/>
  <c r="E371" i="2" s="1"/>
  <c r="D372" i="2"/>
  <c r="E372" i="2" s="1"/>
  <c r="D373" i="2"/>
  <c r="E373" i="2" s="1"/>
  <c r="D374" i="2"/>
  <c r="E374" i="2" s="1"/>
  <c r="D375" i="2"/>
  <c r="E375" i="2" s="1"/>
  <c r="D376" i="2"/>
  <c r="E376" i="2" s="1"/>
  <c r="D377" i="2"/>
  <c r="E377" i="2" s="1"/>
  <c r="D378" i="2"/>
  <c r="E378" i="2" s="1"/>
  <c r="D379" i="2"/>
  <c r="E379" i="2" s="1"/>
  <c r="D380" i="2"/>
  <c r="E380" i="2" s="1"/>
  <c r="D381" i="2"/>
  <c r="E381" i="2" s="1"/>
  <c r="D382" i="2"/>
  <c r="E382" i="2" s="1"/>
  <c r="D383" i="2"/>
  <c r="E383" i="2" s="1"/>
  <c r="D384" i="2"/>
  <c r="E384" i="2" s="1"/>
  <c r="D385" i="2"/>
  <c r="E385" i="2" s="1"/>
  <c r="D386" i="2"/>
  <c r="E386" i="2" s="1"/>
  <c r="D387" i="2"/>
  <c r="E387" i="2" s="1"/>
  <c r="D388" i="2"/>
  <c r="E388" i="2" s="1"/>
  <c r="D389" i="2"/>
  <c r="E389" i="2" s="1"/>
  <c r="D390" i="2"/>
  <c r="E390" i="2" s="1"/>
  <c r="D391" i="2"/>
  <c r="E391" i="2" s="1"/>
  <c r="D392" i="2"/>
  <c r="E392" i="2" s="1"/>
  <c r="D393" i="2"/>
  <c r="E393" i="2" s="1"/>
  <c r="D394" i="2"/>
  <c r="E394" i="2" s="1"/>
  <c r="D395" i="2"/>
  <c r="E395" i="2" s="1"/>
  <c r="D396" i="2"/>
  <c r="E396" i="2" s="1"/>
  <c r="D397" i="2"/>
  <c r="E397" i="2" s="1"/>
  <c r="D398" i="2"/>
  <c r="E398" i="2" s="1"/>
  <c r="D399" i="2"/>
  <c r="E399" i="2" s="1"/>
  <c r="D400" i="2"/>
  <c r="E400" i="2" s="1"/>
  <c r="D401" i="2"/>
  <c r="E401" i="2" s="1"/>
  <c r="D402" i="2"/>
  <c r="E402" i="2" s="1"/>
  <c r="D403" i="2"/>
  <c r="E403" i="2" s="1"/>
  <c r="D404" i="2"/>
  <c r="E404" i="2" s="1"/>
  <c r="D405" i="2"/>
  <c r="E405" i="2" s="1"/>
  <c r="D406" i="2"/>
  <c r="E406" i="2" s="1"/>
  <c r="D407" i="2"/>
  <c r="E407" i="2" s="1"/>
  <c r="D408" i="2"/>
  <c r="E408" i="2" s="1"/>
  <c r="D409" i="2"/>
  <c r="E409" i="2" s="1"/>
  <c r="D410" i="2"/>
  <c r="E410" i="2" s="1"/>
  <c r="D411" i="2"/>
  <c r="E411" i="2" s="1"/>
  <c r="D412" i="2"/>
  <c r="E412" i="2" s="1"/>
  <c r="D413" i="2"/>
  <c r="E413" i="2" s="1"/>
  <c r="D414" i="2"/>
  <c r="E414" i="2" s="1"/>
  <c r="D415" i="2"/>
  <c r="E415" i="2" s="1"/>
  <c r="D416" i="2"/>
  <c r="E416" i="2" s="1"/>
  <c r="D417" i="2"/>
  <c r="E417" i="2" s="1"/>
  <c r="D418" i="2"/>
  <c r="E418" i="2" s="1"/>
  <c r="D419" i="2"/>
  <c r="E419" i="2" s="1"/>
  <c r="D420" i="2"/>
  <c r="E420" i="2" s="1"/>
  <c r="D421" i="2"/>
  <c r="E421" i="2" s="1"/>
  <c r="D422" i="2"/>
  <c r="E422" i="2" s="1"/>
  <c r="D423" i="2"/>
  <c r="E423" i="2" s="1"/>
  <c r="D424" i="2"/>
  <c r="E424" i="2" s="1"/>
  <c r="D425" i="2"/>
  <c r="E425" i="2" s="1"/>
  <c r="D426" i="2"/>
  <c r="E426" i="2" s="1"/>
  <c r="D427" i="2"/>
  <c r="E427" i="2" s="1"/>
  <c r="D428" i="2"/>
  <c r="E428" i="2" s="1"/>
  <c r="D429" i="2"/>
  <c r="E429" i="2" s="1"/>
  <c r="D430" i="2"/>
  <c r="E430" i="2" s="1"/>
  <c r="D431" i="2"/>
  <c r="E431" i="2" s="1"/>
  <c r="D432" i="2"/>
  <c r="E432" i="2" s="1"/>
  <c r="D433" i="2"/>
  <c r="E433" i="2" s="1"/>
  <c r="D434" i="2"/>
  <c r="E434" i="2" s="1"/>
  <c r="D435" i="2"/>
  <c r="E435" i="2" s="1"/>
  <c r="D436" i="2"/>
  <c r="E436" i="2" s="1"/>
  <c r="D437" i="2"/>
  <c r="E437" i="2" s="1"/>
  <c r="D438" i="2"/>
  <c r="E438" i="2" s="1"/>
  <c r="D439" i="2"/>
  <c r="E439" i="2" s="1"/>
  <c r="D440" i="2"/>
  <c r="E440" i="2" s="1"/>
  <c r="D441" i="2"/>
  <c r="E441" i="2" s="1"/>
  <c r="D442" i="2"/>
  <c r="E442" i="2" s="1"/>
  <c r="D443" i="2"/>
  <c r="E443" i="2" s="1"/>
  <c r="D444" i="2"/>
  <c r="E444" i="2" s="1"/>
  <c r="D445" i="2"/>
  <c r="E445" i="2" s="1"/>
  <c r="D446" i="2"/>
  <c r="E446" i="2" s="1"/>
  <c r="D447" i="2"/>
  <c r="E447" i="2" s="1"/>
  <c r="D448" i="2"/>
  <c r="E448" i="2" s="1"/>
  <c r="D449" i="2"/>
  <c r="E449" i="2" s="1"/>
  <c r="D450" i="2"/>
  <c r="E450" i="2" s="1"/>
  <c r="D451" i="2"/>
  <c r="E451" i="2" s="1"/>
  <c r="D452" i="2"/>
  <c r="E452" i="2" s="1"/>
  <c r="D453" i="2"/>
  <c r="E453" i="2" s="1"/>
  <c r="D454" i="2"/>
  <c r="E454" i="2" s="1"/>
  <c r="D455" i="2"/>
  <c r="E455" i="2" s="1"/>
  <c r="D456" i="2"/>
  <c r="E456" i="2" s="1"/>
  <c r="D457" i="2"/>
  <c r="E457" i="2" s="1"/>
  <c r="D458" i="2"/>
  <c r="E458" i="2" s="1"/>
  <c r="D459" i="2"/>
  <c r="E459" i="2" s="1"/>
  <c r="D460" i="2"/>
  <c r="E460" i="2" s="1"/>
  <c r="D461" i="2"/>
  <c r="E461" i="2" s="1"/>
  <c r="D462" i="2"/>
  <c r="E462" i="2" s="1"/>
  <c r="D463" i="2"/>
  <c r="E463" i="2" s="1"/>
  <c r="D464" i="2"/>
  <c r="E464" i="2" s="1"/>
  <c r="D465" i="2"/>
  <c r="E465" i="2" s="1"/>
  <c r="D466" i="2"/>
  <c r="E466" i="2" s="1"/>
  <c r="D467" i="2"/>
  <c r="E467" i="2" s="1"/>
  <c r="D468" i="2"/>
  <c r="E468" i="2" s="1"/>
  <c r="D469" i="2"/>
  <c r="E469" i="2" s="1"/>
  <c r="D470" i="2"/>
  <c r="E470" i="2" s="1"/>
  <c r="D471" i="2"/>
  <c r="E471" i="2" s="1"/>
  <c r="D472" i="2"/>
  <c r="E472" i="2" s="1"/>
  <c r="D473" i="2"/>
  <c r="E473" i="2" s="1"/>
  <c r="D474" i="2"/>
  <c r="E474" i="2" s="1"/>
  <c r="D475" i="2"/>
  <c r="E475" i="2" s="1"/>
  <c r="D476" i="2"/>
  <c r="E476" i="2" s="1"/>
  <c r="D477" i="2"/>
  <c r="E477" i="2" s="1"/>
  <c r="D478" i="2"/>
  <c r="E478" i="2" s="1"/>
  <c r="D479" i="2"/>
  <c r="E479" i="2" s="1"/>
  <c r="D480" i="2"/>
  <c r="E480" i="2" s="1"/>
  <c r="D481" i="2"/>
  <c r="E481" i="2" s="1"/>
  <c r="D482" i="2"/>
  <c r="E482" i="2" s="1"/>
  <c r="D483" i="2"/>
  <c r="E483" i="2" s="1"/>
  <c r="D484" i="2"/>
  <c r="E484" i="2" s="1"/>
  <c r="D485" i="2"/>
  <c r="E485" i="2" s="1"/>
  <c r="D486" i="2"/>
  <c r="E486" i="2" s="1"/>
  <c r="D487" i="2"/>
  <c r="E487" i="2" s="1"/>
  <c r="D488" i="2"/>
  <c r="E488" i="2" s="1"/>
  <c r="D489" i="2"/>
  <c r="E489" i="2" s="1"/>
  <c r="D490" i="2"/>
  <c r="E490" i="2" s="1"/>
  <c r="D491" i="2"/>
  <c r="E491" i="2" s="1"/>
  <c r="D492" i="2"/>
  <c r="E492" i="2" s="1"/>
  <c r="D493" i="2"/>
  <c r="E493" i="2" s="1"/>
  <c r="D494" i="2"/>
  <c r="E494" i="2" s="1"/>
  <c r="D495" i="2"/>
  <c r="E495" i="2" s="1"/>
  <c r="D496" i="2"/>
  <c r="E496" i="2" s="1"/>
  <c r="D497" i="2"/>
  <c r="E497" i="2" s="1"/>
  <c r="D498" i="2"/>
  <c r="E498" i="2" s="1"/>
  <c r="D499" i="2"/>
  <c r="E499" i="2" s="1"/>
  <c r="D500" i="2"/>
  <c r="E500" i="2" s="1"/>
  <c r="D501" i="2"/>
  <c r="E501" i="2" s="1"/>
  <c r="D502" i="2"/>
  <c r="E502" i="2" s="1"/>
  <c r="D503" i="2"/>
  <c r="E503" i="2" s="1"/>
  <c r="D504" i="2"/>
  <c r="E504" i="2" s="1"/>
  <c r="D505" i="2"/>
  <c r="E505" i="2" s="1"/>
  <c r="D506" i="2"/>
  <c r="E506" i="2" s="1"/>
  <c r="D507" i="2"/>
  <c r="E507" i="2" s="1"/>
  <c r="D508" i="2"/>
  <c r="E508" i="2" s="1"/>
  <c r="D509" i="2"/>
  <c r="E509" i="2" s="1"/>
  <c r="D510" i="2"/>
  <c r="E510" i="2" s="1"/>
  <c r="D511" i="2"/>
  <c r="E511" i="2" s="1"/>
  <c r="D512" i="2"/>
  <c r="E512" i="2" s="1"/>
  <c r="M512" i="10" l="1"/>
  <c r="M511" i="10"/>
  <c r="M510" i="10"/>
  <c r="M509" i="10"/>
  <c r="M508" i="10"/>
  <c r="M507" i="10"/>
  <c r="M506" i="10"/>
  <c r="M505" i="10"/>
  <c r="M504" i="10"/>
  <c r="M503" i="10"/>
  <c r="M502" i="10"/>
  <c r="M501" i="10"/>
  <c r="M500" i="10"/>
  <c r="M499" i="10"/>
  <c r="M498" i="10"/>
  <c r="M497" i="10"/>
  <c r="M496" i="10"/>
  <c r="M495" i="10"/>
  <c r="M494" i="10"/>
  <c r="M493" i="10"/>
  <c r="M492" i="10"/>
  <c r="M491" i="10"/>
  <c r="M490" i="10"/>
  <c r="M489" i="10"/>
  <c r="M488" i="10"/>
  <c r="M487" i="10"/>
  <c r="M486" i="10"/>
  <c r="M485" i="10"/>
  <c r="M484" i="10"/>
  <c r="M483" i="10"/>
  <c r="M482" i="10"/>
  <c r="M481" i="10"/>
  <c r="M480" i="10"/>
  <c r="M479" i="10"/>
  <c r="M478" i="10"/>
  <c r="M477" i="10"/>
  <c r="M476" i="10"/>
  <c r="M475" i="10"/>
  <c r="M474" i="10"/>
  <c r="M473" i="10"/>
  <c r="M472" i="10"/>
  <c r="M471" i="10"/>
  <c r="M470" i="10"/>
  <c r="M469" i="10"/>
  <c r="M468" i="10"/>
  <c r="M467" i="10"/>
  <c r="M466" i="10"/>
  <c r="M465" i="10"/>
  <c r="M464" i="10"/>
  <c r="M463" i="10"/>
  <c r="M462" i="10"/>
  <c r="M461" i="10"/>
  <c r="M460" i="10"/>
  <c r="M459" i="10"/>
  <c r="M458" i="10"/>
  <c r="M457" i="10"/>
  <c r="M456" i="10"/>
  <c r="M455" i="10"/>
  <c r="M454" i="10"/>
  <c r="M453" i="10"/>
  <c r="M452" i="10"/>
  <c r="M451" i="10"/>
  <c r="M450" i="10"/>
  <c r="M449" i="10"/>
  <c r="M448" i="10"/>
  <c r="M447" i="10"/>
  <c r="M446" i="10"/>
  <c r="M445" i="10"/>
  <c r="M444" i="10"/>
  <c r="M443" i="10"/>
  <c r="M442" i="10"/>
  <c r="M441" i="10"/>
  <c r="M440" i="10"/>
  <c r="M439" i="10"/>
  <c r="M438" i="10"/>
  <c r="M437" i="10"/>
  <c r="M436" i="10"/>
  <c r="M435" i="10"/>
  <c r="M434" i="10"/>
  <c r="M433" i="10"/>
  <c r="M432" i="10"/>
  <c r="M431" i="10"/>
  <c r="M430" i="10"/>
  <c r="M429" i="10"/>
  <c r="M428" i="10"/>
  <c r="M427" i="10"/>
  <c r="M426" i="10"/>
  <c r="M425" i="10"/>
  <c r="M424" i="10"/>
  <c r="M423" i="10"/>
  <c r="M422" i="10"/>
  <c r="M421" i="10"/>
  <c r="M420" i="10"/>
  <c r="M419" i="10"/>
  <c r="M418" i="10"/>
  <c r="M417" i="10"/>
  <c r="M416" i="10"/>
  <c r="M415" i="10"/>
  <c r="M414" i="10"/>
  <c r="M413" i="10"/>
  <c r="M412" i="10"/>
  <c r="M411" i="10"/>
  <c r="M410" i="10"/>
  <c r="M409" i="10"/>
  <c r="M408" i="10"/>
  <c r="M407" i="10"/>
  <c r="M406" i="10"/>
  <c r="M405" i="10"/>
  <c r="M404" i="10"/>
  <c r="M403" i="10"/>
  <c r="M402" i="10"/>
  <c r="M401" i="10"/>
  <c r="M400" i="10"/>
  <c r="M399" i="10"/>
  <c r="M398" i="10"/>
  <c r="M397" i="10"/>
  <c r="M396" i="10"/>
  <c r="M395" i="10"/>
  <c r="M394" i="10"/>
  <c r="M393" i="10"/>
  <c r="M392" i="10"/>
  <c r="M391" i="10"/>
  <c r="M390" i="10"/>
  <c r="M389" i="10"/>
  <c r="M388" i="10"/>
  <c r="M387" i="10"/>
  <c r="M386" i="10"/>
  <c r="M385" i="10"/>
  <c r="M384" i="10"/>
  <c r="M383" i="10"/>
  <c r="M382" i="10"/>
  <c r="M381" i="10"/>
  <c r="M380" i="10"/>
  <c r="M379" i="10"/>
  <c r="M378" i="10"/>
  <c r="M377" i="10"/>
  <c r="M376" i="10"/>
  <c r="M375" i="10"/>
  <c r="M374" i="10"/>
  <c r="M373" i="10"/>
  <c r="M372" i="10"/>
  <c r="M371" i="10"/>
  <c r="M370" i="10"/>
  <c r="M369" i="10"/>
  <c r="M368" i="10"/>
  <c r="M367" i="10"/>
  <c r="M366" i="10"/>
  <c r="M365" i="10"/>
  <c r="M364" i="10"/>
  <c r="M363" i="10"/>
  <c r="M362" i="10"/>
  <c r="M361" i="10"/>
  <c r="M360" i="10"/>
  <c r="M359" i="10"/>
  <c r="M358" i="10"/>
  <c r="M357" i="10"/>
  <c r="M356" i="10"/>
  <c r="M355" i="10"/>
  <c r="M354" i="10"/>
  <c r="M353" i="10"/>
  <c r="M352" i="10"/>
  <c r="M351" i="10"/>
  <c r="M350" i="10"/>
  <c r="M349" i="10"/>
  <c r="M348" i="10"/>
  <c r="M347" i="10"/>
  <c r="M346" i="10"/>
  <c r="M345" i="10"/>
  <c r="M344" i="10"/>
  <c r="M343" i="10"/>
  <c r="M342" i="10"/>
  <c r="M341" i="10"/>
  <c r="M340" i="10"/>
  <c r="M339" i="10"/>
  <c r="M338" i="10"/>
  <c r="M337" i="10"/>
  <c r="M336" i="10"/>
  <c r="M335" i="10"/>
  <c r="M334" i="10"/>
  <c r="M333" i="10"/>
  <c r="M332" i="10"/>
  <c r="M331" i="10"/>
  <c r="M330" i="10"/>
  <c r="M329" i="10"/>
  <c r="M328" i="10"/>
  <c r="M327" i="10"/>
  <c r="M326" i="10"/>
  <c r="M325" i="10"/>
  <c r="M324" i="10"/>
  <c r="M323" i="10"/>
  <c r="M322" i="10"/>
  <c r="M321" i="10"/>
  <c r="M320" i="10"/>
  <c r="M319" i="10"/>
  <c r="M318" i="10"/>
  <c r="M317" i="10"/>
  <c r="M316" i="10"/>
  <c r="M315" i="10"/>
  <c r="M314" i="10"/>
  <c r="M313" i="10"/>
  <c r="M312" i="10"/>
  <c r="M311" i="10"/>
  <c r="M310" i="10"/>
  <c r="M309" i="10"/>
  <c r="M308" i="10"/>
  <c r="M307" i="10"/>
  <c r="M306" i="10"/>
  <c r="M305" i="10"/>
  <c r="M304" i="10"/>
  <c r="M303" i="10"/>
  <c r="M302" i="10"/>
  <c r="M301" i="10"/>
  <c r="M300" i="10"/>
  <c r="M299" i="10"/>
  <c r="M298" i="10"/>
  <c r="M297" i="10"/>
  <c r="M296" i="10"/>
  <c r="M295" i="10"/>
  <c r="M294" i="10"/>
  <c r="M293" i="10"/>
  <c r="M292" i="10"/>
  <c r="M291" i="10"/>
  <c r="M290" i="10"/>
  <c r="M289" i="10"/>
  <c r="M288" i="10"/>
  <c r="M287" i="10"/>
  <c r="M286" i="10"/>
  <c r="M285" i="10"/>
  <c r="M284" i="10"/>
  <c r="M283" i="10"/>
  <c r="M282" i="10"/>
  <c r="M281" i="10"/>
  <c r="M280" i="10"/>
  <c r="M279" i="10"/>
  <c r="M278" i="10"/>
  <c r="M277" i="10"/>
  <c r="M276" i="10"/>
  <c r="M275" i="10"/>
  <c r="M274" i="10"/>
  <c r="M273" i="10"/>
  <c r="M272" i="10"/>
  <c r="M271" i="10"/>
  <c r="M270" i="10"/>
  <c r="M269" i="10"/>
  <c r="M268" i="10"/>
  <c r="M267" i="10"/>
  <c r="M266" i="10"/>
  <c r="M265" i="10"/>
  <c r="M264" i="10"/>
  <c r="M263" i="10"/>
  <c r="M262" i="10"/>
  <c r="M261" i="10"/>
  <c r="M260" i="10"/>
  <c r="M259" i="10"/>
  <c r="M258" i="10"/>
  <c r="M257" i="10"/>
  <c r="M256" i="10"/>
  <c r="M255" i="10"/>
  <c r="M254" i="10"/>
  <c r="M253" i="10"/>
  <c r="M252" i="10"/>
  <c r="M251" i="10"/>
  <c r="M250" i="10"/>
  <c r="M249" i="10"/>
  <c r="M248" i="10"/>
  <c r="M247" i="10"/>
  <c r="M246" i="10"/>
  <c r="M245" i="10"/>
  <c r="M244" i="10"/>
  <c r="M243" i="10"/>
  <c r="M242" i="10"/>
  <c r="M241" i="10"/>
  <c r="M240" i="10"/>
  <c r="M239" i="10"/>
  <c r="M238" i="10"/>
  <c r="M237" i="10"/>
  <c r="M236" i="10"/>
  <c r="M235" i="10"/>
  <c r="M234" i="10"/>
  <c r="M233" i="10"/>
  <c r="M232" i="10"/>
  <c r="M231" i="10"/>
  <c r="M230" i="10"/>
  <c r="M229" i="10"/>
  <c r="M228" i="10"/>
  <c r="M227" i="10"/>
  <c r="M226" i="10"/>
  <c r="M225" i="10"/>
  <c r="M224" i="10"/>
  <c r="M223" i="10"/>
  <c r="M222" i="10"/>
  <c r="M221" i="10"/>
  <c r="M220" i="10"/>
  <c r="M219" i="10"/>
  <c r="M218" i="10"/>
  <c r="M217" i="10"/>
  <c r="M216" i="10"/>
  <c r="M215" i="10"/>
  <c r="M214" i="10"/>
  <c r="M213" i="10"/>
  <c r="M212" i="10"/>
  <c r="M211" i="10"/>
  <c r="M210" i="10"/>
  <c r="M209" i="10"/>
  <c r="M208" i="10"/>
  <c r="M207" i="10"/>
  <c r="M206" i="10"/>
  <c r="M205" i="10"/>
  <c r="M204" i="10"/>
  <c r="M203" i="10"/>
  <c r="M202" i="10"/>
  <c r="M201" i="10"/>
  <c r="M200" i="10"/>
  <c r="M199" i="10"/>
  <c r="M198" i="10"/>
  <c r="M197" i="10"/>
  <c r="M196" i="10"/>
  <c r="M195" i="10"/>
  <c r="M194" i="10"/>
  <c r="M193" i="10"/>
  <c r="M192" i="10"/>
  <c r="M191" i="10"/>
  <c r="M190" i="10"/>
  <c r="M189" i="10"/>
  <c r="M188" i="10"/>
  <c r="M187" i="10"/>
  <c r="M186" i="10"/>
  <c r="M185" i="10"/>
  <c r="M184" i="10"/>
  <c r="M183" i="10"/>
  <c r="M182" i="10"/>
  <c r="M181" i="10"/>
  <c r="M180" i="10"/>
  <c r="M179" i="10"/>
  <c r="M178" i="10"/>
  <c r="M177" i="10"/>
  <c r="M176" i="10"/>
  <c r="M175" i="10"/>
  <c r="M174" i="10"/>
  <c r="M173" i="10"/>
  <c r="M172" i="10"/>
  <c r="M171" i="10"/>
  <c r="M170" i="10"/>
  <c r="M169" i="10"/>
  <c r="M168" i="10"/>
  <c r="M167" i="10"/>
  <c r="M166" i="10"/>
  <c r="M165" i="10"/>
  <c r="M164" i="10"/>
  <c r="M163" i="10"/>
  <c r="M162" i="10"/>
  <c r="M161" i="10"/>
  <c r="M160" i="10"/>
  <c r="M159" i="10"/>
  <c r="M158" i="10"/>
  <c r="M157" i="10"/>
  <c r="M156" i="10"/>
  <c r="M155" i="10"/>
  <c r="M154" i="10"/>
  <c r="M153" i="10"/>
  <c r="M152" i="10"/>
  <c r="M151" i="10"/>
  <c r="M150" i="10"/>
  <c r="M149" i="10"/>
  <c r="M148" i="10"/>
  <c r="M147" i="10"/>
  <c r="M146" i="10"/>
  <c r="M145" i="10"/>
  <c r="M144" i="10"/>
  <c r="M143" i="10"/>
  <c r="M142" i="10"/>
  <c r="M141" i="10"/>
  <c r="M140" i="10"/>
  <c r="M139" i="10"/>
  <c r="M138" i="10"/>
  <c r="M137" i="10"/>
  <c r="M136" i="10"/>
  <c r="M135" i="10"/>
  <c r="M134" i="10"/>
  <c r="M133" i="10"/>
  <c r="M132" i="10"/>
  <c r="M131" i="10"/>
  <c r="M130" i="10"/>
  <c r="M129" i="10"/>
  <c r="M128" i="10"/>
  <c r="M127" i="10"/>
  <c r="M126" i="10"/>
  <c r="M125" i="10"/>
  <c r="M124" i="10"/>
  <c r="M123" i="10"/>
  <c r="M122" i="10"/>
  <c r="M121" i="10"/>
  <c r="M120" i="10"/>
  <c r="M119" i="10"/>
  <c r="M118" i="10"/>
  <c r="M117" i="10"/>
  <c r="M116" i="10"/>
  <c r="M115" i="10"/>
  <c r="M114" i="10"/>
  <c r="M113" i="10"/>
  <c r="M112" i="10"/>
  <c r="M111" i="10"/>
  <c r="M110" i="10"/>
  <c r="M109" i="10"/>
  <c r="M108" i="10"/>
  <c r="M107" i="10"/>
  <c r="M106" i="10"/>
  <c r="M105" i="10"/>
  <c r="M104" i="10"/>
  <c r="M103" i="10"/>
  <c r="M102" i="10"/>
  <c r="M101" i="10"/>
  <c r="M100" i="10"/>
  <c r="M99" i="10"/>
  <c r="M98" i="10"/>
  <c r="M97" i="10"/>
  <c r="M96" i="10"/>
  <c r="M95" i="10"/>
  <c r="M94" i="10"/>
  <c r="M93" i="10"/>
  <c r="M92" i="10"/>
  <c r="M91" i="10"/>
  <c r="M90" i="10"/>
  <c r="M89" i="10"/>
  <c r="M88" i="10"/>
  <c r="M87" i="10"/>
  <c r="M86" i="10"/>
  <c r="M85" i="10"/>
  <c r="M84" i="10"/>
  <c r="M83" i="10"/>
  <c r="M82" i="10"/>
  <c r="M81" i="10"/>
  <c r="M80" i="10"/>
  <c r="M79" i="10"/>
  <c r="M78" i="10"/>
  <c r="M77" i="10"/>
  <c r="M76" i="10"/>
  <c r="M75" i="10"/>
  <c r="M74" i="10"/>
  <c r="M73" i="10"/>
  <c r="M72" i="10"/>
  <c r="M71" i="10"/>
  <c r="M70" i="10"/>
  <c r="M69" i="10"/>
  <c r="M68" i="10"/>
  <c r="M67" i="10"/>
  <c r="M66" i="10"/>
  <c r="M65" i="10"/>
  <c r="M64" i="10"/>
  <c r="M63" i="10"/>
  <c r="M62" i="10"/>
  <c r="M61" i="10"/>
  <c r="M60" i="10"/>
  <c r="M59" i="10"/>
  <c r="M58" i="10"/>
  <c r="M57" i="10"/>
  <c r="M56" i="10"/>
  <c r="M55" i="10"/>
  <c r="M54" i="10"/>
  <c r="M53" i="10"/>
  <c r="M52" i="10"/>
  <c r="M51" i="10"/>
  <c r="M50" i="10"/>
  <c r="M49" i="10"/>
  <c r="M48" i="10"/>
  <c r="M47" i="10"/>
  <c r="M46" i="10"/>
  <c r="M45" i="10"/>
  <c r="M44" i="10"/>
  <c r="M43" i="10"/>
  <c r="M42" i="10"/>
  <c r="M41" i="10"/>
  <c r="M40" i="10"/>
  <c r="M39" i="10"/>
  <c r="M38" i="10"/>
  <c r="M37" i="10"/>
  <c r="M36" i="10"/>
  <c r="M35" i="10"/>
  <c r="M34" i="10"/>
  <c r="M33" i="10"/>
  <c r="M32" i="10"/>
  <c r="M31" i="10"/>
  <c r="M30" i="10"/>
  <c r="M29" i="10"/>
  <c r="M28" i="10"/>
  <c r="M27" i="10"/>
  <c r="M26" i="10"/>
  <c r="M25" i="10"/>
  <c r="M24" i="10"/>
  <c r="M23" i="10"/>
  <c r="M22" i="10"/>
  <c r="M21" i="10"/>
  <c r="M20" i="10"/>
  <c r="M19" i="10"/>
  <c r="M18" i="10"/>
  <c r="M17" i="10"/>
  <c r="M16" i="10"/>
  <c r="M15" i="10"/>
  <c r="M14" i="10"/>
  <c r="M13" i="10"/>
  <c r="E9" i="2" l="1"/>
  <c r="A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8" authorId="0" shapeId="0" xr:uid="{DF72F757-B37C-4581-AD0F-F6365C22ECB3}">
      <text>
        <r>
          <rPr>
            <sz val="10"/>
            <color indexed="81"/>
            <rFont val="MS P ゴシック"/>
            <family val="3"/>
            <charset val="128"/>
          </rPr>
          <t>会社コード：データダウンロード画面の「契約番号」およびご登録情報照会画面の「ご登録番号」に表示される5桁の英数字です。</t>
        </r>
        <r>
          <rPr>
            <sz val="9"/>
            <color indexed="81"/>
            <rFont val="MS P ゴシック"/>
            <family val="3"/>
            <charset val="128"/>
          </rPr>
          <t xml:space="preserve">
</t>
        </r>
      </text>
    </comment>
    <comment ref="J8" authorId="0" shapeId="0" xr:uid="{CB90BACD-48E9-492B-BD03-2130A4C87174}">
      <text>
        <r>
          <rPr>
            <b/>
            <sz val="10"/>
            <color indexed="81"/>
            <rFont val="MS P ゴシック"/>
            <family val="3"/>
            <charset val="128"/>
          </rPr>
          <t>一括希望：ビリングステーションのダウンロードファイルをまとめます。
請求書をまとめる指定ではありません</t>
        </r>
      </text>
    </comment>
    <comment ref="I10" authorId="0" shapeId="0" xr:uid="{E2028301-47C9-44C7-9100-2E33602506A2}">
      <text>
        <r>
          <rPr>
            <b/>
            <sz val="10"/>
            <color indexed="81"/>
            <rFont val="MS P ゴシック"/>
            <family val="3"/>
            <charset val="128"/>
          </rPr>
          <t>追加対象の既存コードを記載ください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8" authorId="0" shapeId="0" xr:uid="{19DB2A06-417F-46AD-B182-9A73A2C8DFF3}">
      <text>
        <r>
          <rPr>
            <sz val="10"/>
            <color indexed="81"/>
            <rFont val="MS P ゴシック"/>
            <family val="3"/>
            <charset val="128"/>
          </rPr>
          <t>会社コード：データダウンロード画面の「契約番号」およびご登録情報照会画面の「ご登録番号」に表示される5桁の英数字です。</t>
        </r>
        <r>
          <rPr>
            <sz val="9"/>
            <color indexed="81"/>
            <rFont val="MS P ゴシック"/>
            <family val="3"/>
            <charset val="128"/>
          </rPr>
          <t xml:space="preserve">
</t>
        </r>
      </text>
    </comment>
    <comment ref="J8" authorId="0" shapeId="0" xr:uid="{A8B78AC9-BC06-49D0-AE4F-34F010EB925D}">
      <text>
        <r>
          <rPr>
            <b/>
            <sz val="10"/>
            <color indexed="81"/>
            <rFont val="MS P ゴシック"/>
            <family val="3"/>
            <charset val="128"/>
          </rPr>
          <t>一括希望：ビリングステーションのダウンロードファイルをまとめます。
請求書をまとめる指定ではありません</t>
        </r>
      </text>
    </comment>
    <comment ref="I10" authorId="0" shapeId="0" xr:uid="{262914C2-2CB7-4014-A481-6452F941F62D}">
      <text>
        <r>
          <rPr>
            <b/>
            <sz val="10"/>
            <color indexed="81"/>
            <rFont val="MS P ゴシック"/>
            <family val="3"/>
            <charset val="128"/>
          </rPr>
          <t>追加対象の既存コードを記載ください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<sst xmlns="http://schemas.openxmlformats.org/spreadsheetml/2006/main" count="325" uniqueCount="221">
  <si>
    <t>お客さま用</t>
    <rPh sb="1" eb="2">
      <t>キャク</t>
    </rPh>
    <rPh sb="4" eb="5">
      <t>ヨウ</t>
    </rPh>
    <phoneticPr fontId="1"/>
  </si>
  <si>
    <t>ver.</t>
    <phoneticPr fontId="1"/>
  </si>
  <si>
    <t>■ご契約者情報</t>
    <rPh sb="2" eb="5">
      <t>ケイヤクシャ</t>
    </rPh>
    <rPh sb="5" eb="7">
      <t>ジョウホウ</t>
    </rPh>
    <phoneticPr fontId="1"/>
  </si>
  <si>
    <t xml:space="preserve">        お申込年月日（年/月/日）</t>
    <rPh sb="9" eb="10">
      <t>モウ</t>
    </rPh>
    <rPh sb="10" eb="11">
      <t>コ</t>
    </rPh>
    <rPh sb="11" eb="14">
      <t>ネンガッピ</t>
    </rPh>
    <rPh sb="15" eb="16">
      <t>ネン</t>
    </rPh>
    <rPh sb="17" eb="18">
      <t>ガツ</t>
    </rPh>
    <rPh sb="19" eb="20">
      <t>ヒ</t>
    </rPh>
    <phoneticPr fontId="1"/>
  </si>
  <si>
    <t>西暦　年/月/日の順でご記入ください
（例）2023/7/25</t>
    <rPh sb="0" eb="2">
      <t>セイレキ</t>
    </rPh>
    <rPh sb="3" eb="4">
      <t>ネン</t>
    </rPh>
    <rPh sb="5" eb="6">
      <t>ガツ</t>
    </rPh>
    <rPh sb="7" eb="8">
      <t>ヒ</t>
    </rPh>
    <rPh sb="9" eb="10">
      <t>ジュン</t>
    </rPh>
    <rPh sb="12" eb="14">
      <t>キニュウ</t>
    </rPh>
    <rPh sb="20" eb="21">
      <t>レイ</t>
    </rPh>
    <phoneticPr fontId="1"/>
  </si>
  <si>
    <t>※ BSお客様番号</t>
    <phoneticPr fontId="1"/>
  </si>
  <si>
    <t>BS</t>
    <phoneticPr fontId="1"/>
  </si>
  <si>
    <t>ご利用のビリングステーションBSお客様番号「BS＋7桁」をご記入ください。</t>
  </si>
  <si>
    <t xml:space="preserve">※ ご契約者名（会社名）
</t>
    <rPh sb="3" eb="6">
      <t>ケイヤクシャ</t>
    </rPh>
    <rPh sb="6" eb="7">
      <t>メイ</t>
    </rPh>
    <rPh sb="8" eb="11">
      <t>カイシャメイ</t>
    </rPh>
    <phoneticPr fontId="1"/>
  </si>
  <si>
    <t>※フリガナ（全角カタカナ）</t>
    <phoneticPr fontId="1"/>
  </si>
  <si>
    <t>契約者名変更</t>
    <rPh sb="0" eb="2">
      <t>ケイヤク</t>
    </rPh>
    <rPh sb="2" eb="3">
      <t>シャ</t>
    </rPh>
    <rPh sb="3" eb="4">
      <t>メイ</t>
    </rPh>
    <rPh sb="4" eb="6">
      <t>ヘンコウ</t>
    </rPh>
    <phoneticPr fontId="1"/>
  </si>
  <si>
    <t>ビリングステーション契約者名に変更がある場合は「契約名変更」欄にチェックをお願いします（注１）</t>
    <rPh sb="44" eb="45">
      <t>チュウ</t>
    </rPh>
    <phoneticPr fontId="1"/>
  </si>
  <si>
    <t>※ 郵便番号（ハイフン不要）</t>
    <rPh sb="2" eb="6">
      <t>ユウビンバンゴウ</t>
    </rPh>
    <rPh sb="11" eb="13">
      <t>フヨウ</t>
    </rPh>
    <phoneticPr fontId="1"/>
  </si>
  <si>
    <t>〒</t>
    <phoneticPr fontId="1"/>
  </si>
  <si>
    <t>ハイフンは不要です。数字のみ記入ください</t>
    <rPh sb="5" eb="7">
      <t>フヨウ</t>
    </rPh>
    <rPh sb="10" eb="12">
      <t>スウジ</t>
    </rPh>
    <rPh sb="14" eb="16">
      <t>キニュウ</t>
    </rPh>
    <phoneticPr fontId="1"/>
  </si>
  <si>
    <t>※ 
ご契約者住所</t>
    <rPh sb="4" eb="6">
      <t>ケイヤク</t>
    </rPh>
    <rPh sb="6" eb="7">
      <t>モノ</t>
    </rPh>
    <rPh sb="7" eb="9">
      <t>ジュウショ</t>
    </rPh>
    <phoneticPr fontId="1"/>
  </si>
  <si>
    <t>※住所（番地号まで）</t>
    <phoneticPr fontId="1"/>
  </si>
  <si>
    <t>住所は都道府県から全てご記入ください。</t>
    <rPh sb="0" eb="2">
      <t>ジュウショ</t>
    </rPh>
    <rPh sb="3" eb="7">
      <t>トドウフケン</t>
    </rPh>
    <rPh sb="9" eb="10">
      <t>スベ</t>
    </rPh>
    <rPh sb="12" eb="14">
      <t>キニュウ</t>
    </rPh>
    <phoneticPr fontId="1"/>
  </si>
  <si>
    <t>建物名、部屋番号</t>
    <phoneticPr fontId="1"/>
  </si>
  <si>
    <t>ビル・マンション名等漏れなくご記入ください。</t>
    <rPh sb="8" eb="9">
      <t>メイ</t>
    </rPh>
    <rPh sb="9" eb="10">
      <t>ナド</t>
    </rPh>
    <rPh sb="10" eb="11">
      <t>モ</t>
    </rPh>
    <rPh sb="15" eb="17">
      <t>キニュウ</t>
    </rPh>
    <phoneticPr fontId="1"/>
  </si>
  <si>
    <t>※ ご契約者連絡先</t>
    <rPh sb="3" eb="6">
      <t>ケイヤクシャ</t>
    </rPh>
    <rPh sb="6" eb="9">
      <t>レンラクサキ</t>
    </rPh>
    <phoneticPr fontId="1"/>
  </si>
  <si>
    <t>※電話番号（ハイフン不要）</t>
    <rPh sb="1" eb="3">
      <t>デンワ</t>
    </rPh>
    <rPh sb="3" eb="5">
      <t>バンゴウ</t>
    </rPh>
    <rPh sb="10" eb="12">
      <t>フヨウ</t>
    </rPh>
    <phoneticPr fontId="1"/>
  </si>
  <si>
    <t>ハイフンは不要です。数字のみ記入ください</t>
    <phoneticPr fontId="1"/>
  </si>
  <si>
    <t>フリガナ（全角カタカナ）</t>
  </si>
  <si>
    <t>部署名</t>
    <rPh sb="0" eb="2">
      <t>ブショ</t>
    </rPh>
    <rPh sb="2" eb="3">
      <t>メイ</t>
    </rPh>
    <phoneticPr fontId="1"/>
  </si>
  <si>
    <t>※ご担当者名</t>
    <rPh sb="2" eb="5">
      <t>タントウシャ</t>
    </rPh>
    <rPh sb="5" eb="6">
      <t>メイ</t>
    </rPh>
    <phoneticPr fontId="1"/>
  </si>
  <si>
    <t>■ビリングステーションご利用に必要な情報</t>
    <rPh sb="12" eb="14">
      <t>リヨウ</t>
    </rPh>
    <rPh sb="15" eb="17">
      <t>ヒツヨウ</t>
    </rPh>
    <rPh sb="18" eb="20">
      <t>ジョウホウ</t>
    </rPh>
    <phoneticPr fontId="1"/>
  </si>
  <si>
    <t>※ お申込プラン
（スタンダードプラン/ダウンロードプラン）</t>
    <phoneticPr fontId="1"/>
  </si>
  <si>
    <t>スタンダードプランご加入の場合、基本サービスとして請求内訳は13ヶ月分、通話履歴は4ヶ月分のデータ保存が可能です。
ダウンロードプランご加入の場合、集計分析機能はご利用いただけません。</t>
    <phoneticPr fontId="1"/>
  </si>
  <si>
    <t>番号別明細内訳書
データ形式
（csv/固定長）</t>
    <phoneticPr fontId="1"/>
  </si>
  <si>
    <t>Excel表示にはcsv形式を選択ください。
ご請求番号が数字11桁の専用線サービスをご利用のお客さまは固定長のみの提供になります。</t>
    <rPh sb="5" eb="7">
      <t>ヒョウジ</t>
    </rPh>
    <rPh sb="12" eb="14">
      <t>ケイシキ</t>
    </rPh>
    <rPh sb="15" eb="17">
      <t>センタク</t>
    </rPh>
    <rPh sb="24" eb="26">
      <t>セイキュウ</t>
    </rPh>
    <rPh sb="26" eb="28">
      <t>バンゴウ</t>
    </rPh>
    <rPh sb="29" eb="31">
      <t>スウジ</t>
    </rPh>
    <rPh sb="33" eb="34">
      <t>ケタ</t>
    </rPh>
    <rPh sb="35" eb="38">
      <t>センヨウセン</t>
    </rPh>
    <rPh sb="44" eb="46">
      <t>リヨウ</t>
    </rPh>
    <rPh sb="48" eb="49">
      <t>キャク</t>
    </rPh>
    <rPh sb="52" eb="55">
      <t>コテイチョウ</t>
    </rPh>
    <rPh sb="58" eb="60">
      <t>テイキョウ</t>
    </rPh>
    <phoneticPr fontId="1"/>
  </si>
  <si>
    <t>■以下はご記入不要です</t>
    <rPh sb="1" eb="3">
      <t>イカ</t>
    </rPh>
    <rPh sb="5" eb="7">
      <t>キニュウ</t>
    </rPh>
    <rPh sb="7" eb="9">
      <t>フヨウ</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</si>
  <si>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</si>
  <si>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</si>
  <si>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</si>
  <si>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販売担当者</t>
    <rPh sb="0" eb="2">
      <t>ハンバイ</t>
    </rPh>
    <rPh sb="2" eb="5">
      <t>タントウシャ</t>
    </rPh>
    <phoneticPr fontId="1"/>
  </si>
  <si>
    <t>販売担当者　部署名</t>
    <phoneticPr fontId="1"/>
  </si>
  <si>
    <t>販売担当者　担当者名</t>
    <phoneticPr fontId="1"/>
  </si>
  <si>
    <t>販売担当者　電話番号</t>
    <phoneticPr fontId="1"/>
  </si>
  <si>
    <t>販売担当者　メールアドレス</t>
    <phoneticPr fontId="1"/>
  </si>
  <si>
    <t>別紙：　対象のご請求番号一覧（番号別明細内訳書)</t>
    <phoneticPr fontId="20"/>
  </si>
  <si>
    <t>白背景部分を記入ください。
ご請求番号は以下の３つのいずれかの形式になります。オレンジ網掛けになる場合は形式エラーです。ご確認ください。</t>
    <rPh sb="0" eb="1">
      <t>シロ</t>
    </rPh>
    <rPh sb="1" eb="3">
      <t>ハイケイ</t>
    </rPh>
    <rPh sb="3" eb="5">
      <t>ブブン</t>
    </rPh>
    <rPh sb="6" eb="8">
      <t>キニュウ</t>
    </rPh>
    <rPh sb="15" eb="19">
      <t>セイキュウバンゴウ</t>
    </rPh>
    <rPh sb="20" eb="22">
      <t>イカ</t>
    </rPh>
    <rPh sb="31" eb="33">
      <t>ケイシキ</t>
    </rPh>
    <rPh sb="43" eb="45">
      <t>アミカ</t>
    </rPh>
    <rPh sb="49" eb="51">
      <t>バアイ</t>
    </rPh>
    <rPh sb="52" eb="54">
      <t>ケイシキ</t>
    </rPh>
    <rPh sb="61" eb="63">
      <t>カクニン</t>
    </rPh>
    <phoneticPr fontId="20"/>
  </si>
  <si>
    <t>1…数字4桁-3桁-3桁のご請求番号　※ハイフン（「－」）は無しで記載ください</t>
    <phoneticPr fontId="20"/>
  </si>
  <si>
    <r>
      <t>2…Rから始まるご請求番号　</t>
    </r>
    <r>
      <rPr>
        <sz val="12"/>
        <color rgb="FFFF0000"/>
        <rFont val="メイリオ"/>
        <family val="3"/>
        <charset val="128"/>
      </rPr>
      <t>※Zから始まる番号は以下の受付フォームからお申込ください。</t>
    </r>
    <rPh sb="18" eb="19">
      <t>ハジ</t>
    </rPh>
    <rPh sb="21" eb="23">
      <t>バンゴウ</t>
    </rPh>
    <rPh sb="24" eb="26">
      <t>イカ</t>
    </rPh>
    <rPh sb="27" eb="29">
      <t>ウケツケ</t>
    </rPh>
    <phoneticPr fontId="20"/>
  </si>
  <si>
    <t>https://support.ntt.com/business/inquiry/input/pid2200001z8u</t>
    <phoneticPr fontId="1"/>
  </si>
  <si>
    <t>3…数字7桁-5桁の専用線サービスお客さま番号　ハイフン（「－」）は無しで記載ください</t>
    <rPh sb="8" eb="9">
      <t>ケタ</t>
    </rPh>
    <rPh sb="18" eb="19">
      <t>キャク</t>
    </rPh>
    <rPh sb="21" eb="23">
      <t>バンゴウ</t>
    </rPh>
    <rPh sb="34" eb="35">
      <t>ナ</t>
    </rPh>
    <rPh sb="37" eb="39">
      <t>キサイ</t>
    </rPh>
    <phoneticPr fontId="20"/>
  </si>
  <si>
    <t>適格請求書ダウンロード</t>
    <phoneticPr fontId="1"/>
  </si>
  <si>
    <t>ビリングステーションの機能をさらに活用</t>
    <phoneticPr fontId="1"/>
  </si>
  <si>
    <t>フラグ</t>
    <phoneticPr fontId="1"/>
  </si>
  <si>
    <t>項番</t>
  </si>
  <si>
    <t>申込区分</t>
    <phoneticPr fontId="20"/>
  </si>
  <si>
    <t>請求種別
（非表示）</t>
    <rPh sb="0" eb="4">
      <t>セイキュウシュベツ</t>
    </rPh>
    <rPh sb="6" eb="9">
      <t>ヒヒョウジ</t>
    </rPh>
    <phoneticPr fontId="20"/>
  </si>
  <si>
    <t>ご請求番号
（ハイフン不要）</t>
    <rPh sb="11" eb="13">
      <t>フヨウ</t>
    </rPh>
    <phoneticPr fontId="20"/>
  </si>
  <si>
    <r>
      <t xml:space="preserve">ご契約番号
</t>
    </r>
    <r>
      <rPr>
        <sz val="9"/>
        <rFont val="メイリオ"/>
        <family val="3"/>
        <charset val="128"/>
      </rPr>
      <t>（ご請求番号がご不明な場合のみ）</t>
    </r>
    <phoneticPr fontId="20"/>
  </si>
  <si>
    <r>
      <t>会社コード</t>
    </r>
    <r>
      <rPr>
        <sz val="10"/>
        <rFont val="メイリオ"/>
        <family val="3"/>
        <charset val="128"/>
      </rPr>
      <t>(5桁）</t>
    </r>
    <r>
      <rPr>
        <sz val="14"/>
        <rFont val="メイリオ"/>
        <family val="3"/>
        <charset val="128"/>
      </rPr>
      <t xml:space="preserve">
</t>
    </r>
    <r>
      <rPr>
        <sz val="10"/>
        <rFont val="メイリオ"/>
        <family val="3"/>
        <charset val="128"/>
      </rPr>
      <t>※「数字4桁-3桁-3桁のご請求番号」の場合のみ</t>
    </r>
    <rPh sb="7" eb="8">
      <t>ケタ</t>
    </rPh>
    <phoneticPr fontId="20"/>
  </si>
  <si>
    <r>
      <t xml:space="preserve">一括希望
</t>
    </r>
    <r>
      <rPr>
        <sz val="10"/>
        <rFont val="メイリオ"/>
        <family val="3"/>
        <charset val="128"/>
      </rPr>
      <t>※「数字4桁-3桁-3桁のご請求番号」の場合のみ</t>
    </r>
    <rPh sb="0" eb="2">
      <t>イッカツ</t>
    </rPh>
    <rPh sb="2" eb="4">
      <t>キボウ</t>
    </rPh>
    <phoneticPr fontId="20"/>
  </si>
  <si>
    <r>
      <t xml:space="preserve">分割番号
</t>
    </r>
    <r>
      <rPr>
        <sz val="10"/>
        <color rgb="FF000000"/>
        <rFont val="メイリオ"/>
        <family val="3"/>
        <charset val="128"/>
      </rPr>
      <t xml:space="preserve">※「Rから始まるご請求番号」の場合のみ
</t>
    </r>
    <rPh sb="10" eb="11">
      <t>ハジ</t>
    </rPh>
    <rPh sb="14" eb="16">
      <t>セイキュウ</t>
    </rPh>
    <rPh sb="16" eb="18">
      <t>バンゴウ</t>
    </rPh>
    <rPh sb="20" eb="22">
      <t>バアイ</t>
    </rPh>
    <phoneticPr fontId="20"/>
  </si>
  <si>
    <t>選択項目</t>
    <rPh sb="0" eb="2">
      <t>センタク</t>
    </rPh>
    <rPh sb="2" eb="4">
      <t>コウモク</t>
    </rPh>
    <phoneticPr fontId="20"/>
  </si>
  <si>
    <t>追加／削除</t>
    <rPh sb="3" eb="5">
      <t>サクジョ</t>
    </rPh>
    <phoneticPr fontId="20"/>
  </si>
  <si>
    <t>1／2／3</t>
    <phoneticPr fontId="20"/>
  </si>
  <si>
    <t>赤背景の場合ご請求番号を確認ください</t>
    <rPh sb="0" eb="1">
      <t>アカ</t>
    </rPh>
    <rPh sb="1" eb="3">
      <t>ハイケイ</t>
    </rPh>
    <rPh sb="4" eb="6">
      <t>バアイ</t>
    </rPh>
    <rPh sb="7" eb="9">
      <t>セイキュウ</t>
    </rPh>
    <rPh sb="9" eb="11">
      <t>バンゴウ</t>
    </rPh>
    <rPh sb="12" eb="14">
      <t>カクニン</t>
    </rPh>
    <phoneticPr fontId="1"/>
  </si>
  <si>
    <t>ご請求番号形式に誤りがある場合コメントを表示します</t>
    <rPh sb="1" eb="3">
      <t>セイキュウ</t>
    </rPh>
    <rPh sb="3" eb="5">
      <t>バンゴウ</t>
    </rPh>
    <rPh sb="5" eb="7">
      <t>ケイシキ</t>
    </rPh>
    <rPh sb="8" eb="9">
      <t>アヤマ</t>
    </rPh>
    <rPh sb="13" eb="15">
      <t>バアイ</t>
    </rPh>
    <rPh sb="20" eb="22">
      <t>ヒョウジ</t>
    </rPh>
    <phoneticPr fontId="1"/>
  </si>
  <si>
    <t>不明の場合「新規払い出し」
追加の場合は追加したい会社コード（5桁）を記載</t>
    <rPh sb="0" eb="2">
      <t>フメイ</t>
    </rPh>
    <rPh sb="3" eb="5">
      <t>バアイ</t>
    </rPh>
    <rPh sb="14" eb="16">
      <t>ツイカ</t>
    </rPh>
    <rPh sb="17" eb="19">
      <t>バアイ</t>
    </rPh>
    <rPh sb="20" eb="22">
      <t>ツイカ</t>
    </rPh>
    <rPh sb="25" eb="27">
      <t>カイシャ</t>
    </rPh>
    <rPh sb="32" eb="33">
      <t>ケタ</t>
    </rPh>
    <rPh sb="35" eb="37">
      <t>キサイ</t>
    </rPh>
    <phoneticPr fontId="20"/>
  </si>
  <si>
    <t>csvデータダウンロードファイルをまとめる
不明の場合「希望しない」</t>
    <phoneticPr fontId="20"/>
  </si>
  <si>
    <t>不明の場合「なし」</t>
    <phoneticPr fontId="20"/>
  </si>
  <si>
    <t>分割番号
（なしの場合記載不要）</t>
    <rPh sb="0" eb="2">
      <t>ブンカツ</t>
    </rPh>
    <rPh sb="2" eb="4">
      <t>バンゴウ</t>
    </rPh>
    <rPh sb="9" eb="11">
      <t>バアイ</t>
    </rPh>
    <rPh sb="11" eb="13">
      <t>キサイ</t>
    </rPh>
    <rPh sb="13" eb="15">
      <t>フヨウ</t>
    </rPh>
    <phoneticPr fontId="1"/>
  </si>
  <si>
    <t>請求番号も契約番号も空白ならfalseでとらない（非表示行）</t>
    <rPh sb="0" eb="2">
      <t>セイキュウ</t>
    </rPh>
    <rPh sb="2" eb="4">
      <t>バンゴウ</t>
    </rPh>
    <rPh sb="5" eb="7">
      <t>ケイヤク</t>
    </rPh>
    <rPh sb="7" eb="9">
      <t>バンゴウ</t>
    </rPh>
    <rPh sb="10" eb="12">
      <t>クウハク</t>
    </rPh>
    <rPh sb="25" eb="28">
      <t>ヒヒョウジ</t>
    </rPh>
    <rPh sb="28" eb="29">
      <t>ギョウ</t>
    </rPh>
    <phoneticPr fontId="1"/>
  </si>
  <si>
    <t>例１</t>
    <rPh sb="0" eb="1">
      <t>レイ</t>
    </rPh>
    <phoneticPr fontId="1"/>
  </si>
  <si>
    <t>追加</t>
  </si>
  <si>
    <t>1234123123</t>
    <phoneticPr fontId="1"/>
  </si>
  <si>
    <t>既存コードに追加</t>
  </si>
  <si>
    <t>希望する</t>
  </si>
  <si>
    <t>例２</t>
    <rPh sb="0" eb="1">
      <t>レイ</t>
    </rPh>
    <phoneticPr fontId="1"/>
  </si>
  <si>
    <t>R123456789</t>
    <phoneticPr fontId="1"/>
  </si>
  <si>
    <t>なし</t>
  </si>
  <si>
    <t>例３</t>
    <rPh sb="0" eb="1">
      <t>レイ</t>
    </rPh>
    <phoneticPr fontId="1"/>
  </si>
  <si>
    <t>123456712345</t>
    <phoneticPr fontId="1"/>
  </si>
  <si>
    <t xml:space="preserve">        お申込年月日</t>
    <phoneticPr fontId="1"/>
  </si>
  <si>
    <t>テキカクツイカカブシキガイシャ</t>
    <phoneticPr fontId="1"/>
  </si>
  <si>
    <t>適格追加株式会社</t>
    <phoneticPr fontId="1"/>
  </si>
  <si>
    <t>0040001</t>
    <phoneticPr fontId="1"/>
  </si>
  <si>
    <t>ハイフンは不要です。</t>
    <rPh sb="5" eb="7">
      <t>フヨウ</t>
    </rPh>
    <phoneticPr fontId="1"/>
  </si>
  <si>
    <t>東京都千代田区大手町２－３－１</t>
    <phoneticPr fontId="1"/>
  </si>
  <si>
    <t>大手町プレイス１F</t>
    <phoneticPr fontId="1"/>
  </si>
  <si>
    <t>05011112222</t>
    <phoneticPr fontId="1"/>
  </si>
  <si>
    <t>ザイムブ</t>
    <phoneticPr fontId="1"/>
  </si>
  <si>
    <t>財務部</t>
    <phoneticPr fontId="1"/>
  </si>
  <si>
    <t>テキカクフジコ</t>
    <phoneticPr fontId="1"/>
  </si>
  <si>
    <t>適格藤子</t>
    <phoneticPr fontId="1"/>
  </si>
  <si>
    <t>※ お申込プラン
・スタンダードプラン（おすすめ）
・ダウンロードプラン（一部機能無し）</t>
    <rPh sb="37" eb="39">
      <t>イチブ</t>
    </rPh>
    <rPh sb="39" eb="41">
      <t>キノウ</t>
    </rPh>
    <rPh sb="41" eb="42">
      <t>ナ</t>
    </rPh>
    <phoneticPr fontId="1"/>
  </si>
  <si>
    <t>スタンダードプラン</t>
  </si>
  <si>
    <t>番号別明細内訳書
データ形式
（csv/固定長）</t>
    <rPh sb="12" eb="14">
      <t>ケイシキ</t>
    </rPh>
    <rPh sb="20" eb="23">
      <t>コテイチョウ</t>
    </rPh>
    <phoneticPr fontId="1"/>
  </si>
  <si>
    <t>csv</t>
  </si>
  <si>
    <t>適格請求書ダウンロードに必要</t>
    <rPh sb="0" eb="2">
      <t>テキカク</t>
    </rPh>
    <rPh sb="2" eb="5">
      <t>セイキュウショ</t>
    </rPh>
    <rPh sb="12" eb="14">
      <t>ヒツヨウ</t>
    </rPh>
    <phoneticPr fontId="1"/>
  </si>
  <si>
    <t>ビリングステーションの分析機能をさらに活用</t>
    <rPh sb="11" eb="13">
      <t>ブンセキ</t>
    </rPh>
    <rPh sb="13" eb="15">
      <t>キノウ</t>
    </rPh>
    <rPh sb="19" eb="21">
      <t>カツヨウ</t>
    </rPh>
    <phoneticPr fontId="1"/>
  </si>
  <si>
    <t>請求種別
（必須）</t>
    <rPh sb="0" eb="4">
      <t>セイキュウシュベツ</t>
    </rPh>
    <rPh sb="6" eb="8">
      <t>ヒッス</t>
    </rPh>
    <phoneticPr fontId="20"/>
  </si>
  <si>
    <t>新規払い出し</t>
  </si>
  <si>
    <t>R111222333</t>
    <phoneticPr fontId="1"/>
  </si>
  <si>
    <t>123456754321</t>
    <phoneticPr fontId="1"/>
  </si>
  <si>
    <t>削除</t>
  </si>
  <si>
    <t>0987654321</t>
    <phoneticPr fontId="1"/>
  </si>
  <si>
    <t>希望しない</t>
  </si>
  <si>
    <t>R700111222</t>
    <phoneticPr fontId="1"/>
  </si>
  <si>
    <t>098765412345</t>
    <phoneticPr fontId="1"/>
  </si>
  <si>
    <t>形式OK</t>
  </si>
  <si>
    <t>1234123121</t>
    <phoneticPr fontId="1"/>
  </si>
  <si>
    <t>R111222331</t>
    <phoneticPr fontId="1"/>
  </si>
  <si>
    <t>123456754322</t>
    <phoneticPr fontId="1"/>
  </si>
  <si>
    <t>0987654323</t>
    <phoneticPr fontId="1"/>
  </si>
  <si>
    <t>R700111221</t>
    <phoneticPr fontId="1"/>
  </si>
  <si>
    <t>ご契約者名（会社名）フリガナ</t>
    <phoneticPr fontId="1"/>
  </si>
  <si>
    <t>申込書バージョン</t>
    <rPh sb="0" eb="3">
      <t>モウシコミショ</t>
    </rPh>
    <phoneticPr fontId="1"/>
  </si>
  <si>
    <t>お客様向け/社内向け</t>
    <rPh sb="1" eb="3">
      <t>キャクサマ</t>
    </rPh>
    <rPh sb="3" eb="4">
      <t>ム</t>
    </rPh>
    <rPh sb="6" eb="8">
      <t>シャナイ</t>
    </rPh>
    <rPh sb="8" eb="9">
      <t>ム</t>
    </rPh>
    <phoneticPr fontId="1"/>
  </si>
  <si>
    <t>様式</t>
    <rPh sb="0" eb="2">
      <t>ヨウシキ</t>
    </rPh>
    <phoneticPr fontId="1"/>
  </si>
  <si>
    <t>BSお客様番号処理</t>
    <rPh sb="3" eb="5">
      <t>キャクサマ</t>
    </rPh>
    <rPh sb="5" eb="7">
      <t>バンゴウ</t>
    </rPh>
    <rPh sb="7" eb="9">
      <t>ショリ</t>
    </rPh>
    <phoneticPr fontId="1"/>
  </si>
  <si>
    <t>頭にBSをつける</t>
    <phoneticPr fontId="1"/>
  </si>
  <si>
    <t>ご契約者連絡先　部署名フリガナ</t>
    <phoneticPr fontId="1"/>
  </si>
  <si>
    <t>バージョン</t>
    <phoneticPr fontId="1"/>
  </si>
  <si>
    <t>用途</t>
    <rPh sb="0" eb="2">
      <t>ヨウト</t>
    </rPh>
    <phoneticPr fontId="1"/>
  </si>
  <si>
    <t>名称</t>
    <rPh sb="0" eb="2">
      <t>メイショウ</t>
    </rPh>
    <phoneticPr fontId="1"/>
  </si>
  <si>
    <t>ご契約者連絡先　担当者名フリガナ</t>
    <phoneticPr fontId="1"/>
  </si>
  <si>
    <t>お客様</t>
    <rPh sb="1" eb="3">
      <t>キャクサマ</t>
    </rPh>
    <phoneticPr fontId="1"/>
  </si>
  <si>
    <t>変更申込書</t>
    <rPh sb="0" eb="2">
      <t>ヘンコウ</t>
    </rPh>
    <rPh sb="2" eb="5">
      <t>モウシコミショ</t>
    </rPh>
    <phoneticPr fontId="1"/>
  </si>
  <si>
    <t>YYYY/MM/DD
空欄の場合NULL</t>
  </si>
  <si>
    <t>全角カナ80文字以内</t>
  </si>
  <si>
    <t>全角40文字以内</t>
  </si>
  <si>
    <t>新規は０固定↓</t>
    <rPh sb="0" eb="2">
      <t>シンキ</t>
    </rPh>
    <rPh sb="4" eb="6">
      <t>コテイ</t>
    </rPh>
    <phoneticPr fontId="1"/>
  </si>
  <si>
    <t>半角数字7桁</t>
  </si>
  <si>
    <t>全角128文字以内</t>
  </si>
  <si>
    <t>全角40文字以内
空欄の場合NULL</t>
  </si>
  <si>
    <t>半角数字10文字以上11文字以内</t>
  </si>
  <si>
    <t>全角カナ80文字以内
空欄の場合NULL</t>
  </si>
  <si>
    <t>全角50文字以内
空欄の場合NULL</t>
  </si>
  <si>
    <t>全角カナ40文字以内
空欄の場合NULL</t>
  </si>
  <si>
    <t>全角20文字以内
空欄の場合NULL</t>
  </si>
  <si>
    <t>半角255文字以内
変更の場合NULL</t>
  </si>
  <si>
    <t>半角英数字6桁
変更の場合NULL</t>
  </si>
  <si>
    <t>csv/固定長
新規かつ空欄の場合csv
変更の場合NULL</t>
  </si>
  <si>
    <t>csv/固定長
変更かつ空欄の場合csv
新規の場合NULL</t>
    <phoneticPr fontId="1"/>
  </si>
  <si>
    <t>新規はNull固定</t>
    <rPh sb="0" eb="2">
      <t>シンキ</t>
    </rPh>
    <rPh sb="7" eb="9">
      <t>コテイ</t>
    </rPh>
    <phoneticPr fontId="1"/>
  </si>
  <si>
    <t>スタンダード/ダウンロード
新規の場合スタンダード
変更かつ未選択の場合スタンダード</t>
  </si>
  <si>
    <t>初期値Null</t>
    <rPh sb="0" eb="3">
      <t>ショキチ</t>
    </rPh>
    <phoneticPr fontId="1"/>
  </si>
  <si>
    <t>エラー値の数をカウント</t>
    <phoneticPr fontId="1"/>
  </si>
  <si>
    <t>applicationArrivalDate</t>
    <phoneticPr fontId="1"/>
  </si>
  <si>
    <t>contractCustomerNameKana</t>
    <phoneticPr fontId="1"/>
  </si>
  <si>
    <t>contractCustomerName</t>
    <phoneticPr fontId="1"/>
  </si>
  <si>
    <t>meigiHenkou</t>
    <phoneticPr fontId="1"/>
  </si>
  <si>
    <t>contractCustomerPostalNumber</t>
    <phoneticPr fontId="1"/>
  </si>
  <si>
    <t>contractCustomerAddress</t>
    <phoneticPr fontId="1"/>
  </si>
  <si>
    <t>contractCustomerAddress2</t>
    <phoneticPr fontId="1"/>
  </si>
  <si>
    <t>billingStationPhoneNumber</t>
    <phoneticPr fontId="1"/>
  </si>
  <si>
    <t>billingStationDeptNameKana</t>
  </si>
  <si>
    <t>billingStationDeptName</t>
    <phoneticPr fontId="1"/>
  </si>
  <si>
    <t>billingStationPersonKana</t>
    <phoneticPr fontId="1"/>
  </si>
  <si>
    <t>billingStationPerson</t>
  </si>
  <si>
    <t>billingStationCustomerMailAddress</t>
    <phoneticPr fontId="1"/>
  </si>
  <si>
    <t>billingStationAuthKey</t>
    <phoneticPr fontId="1"/>
  </si>
  <si>
    <t>新規と媒体はこちらだけ入る</t>
    <rPh sb="0" eb="2">
      <t>シンキ</t>
    </rPh>
    <rPh sb="3" eb="5">
      <t>バイタイ</t>
    </rPh>
    <rPh sb="11" eb="12">
      <t>ハイ</t>
    </rPh>
    <phoneticPr fontId="1"/>
  </si>
  <si>
    <t>変更はこちらだけ入る</t>
    <rPh sb="0" eb="2">
      <t>ヘンコウ</t>
    </rPh>
    <rPh sb="8" eb="9">
      <t>ハイ</t>
    </rPh>
    <phoneticPr fontId="1"/>
  </si>
  <si>
    <t>billingStationCustomerNumber</t>
    <phoneticPr fontId="1"/>
  </si>
  <si>
    <t>billingStationPlan
新規はスタンダード固定</t>
    <rPh sb="19" eb="21">
      <t>シンキ</t>
    </rPh>
    <rPh sb="28" eb="30">
      <t>コテイ</t>
    </rPh>
    <phoneticPr fontId="1"/>
  </si>
  <si>
    <t>comment</t>
  </si>
  <si>
    <t>salesChannelDeptName</t>
  </si>
  <si>
    <t>salesChannelPersonName</t>
  </si>
  <si>
    <t>salesChannelPhoneNumber</t>
  </si>
  <si>
    <t>salesChannelMailAddress</t>
  </si>
  <si>
    <t>ファイル名</t>
  </si>
  <si>
    <t>お申込年月日</t>
  </si>
  <si>
    <t>ご契約者名（会社名）フリガナ</t>
  </si>
  <si>
    <t>ご契約者名（会社名）</t>
    <phoneticPr fontId="1"/>
  </si>
  <si>
    <t>ご契約名義変更フラグ</t>
    <phoneticPr fontId="1"/>
  </si>
  <si>
    <t>郵便番号</t>
  </si>
  <si>
    <t>ご契約者住所</t>
    <phoneticPr fontId="1"/>
  </si>
  <si>
    <t>ご契約者住所2</t>
    <phoneticPr fontId="1"/>
  </si>
  <si>
    <t>ご契約者連絡先　電話番号</t>
  </si>
  <si>
    <t>ご契約者連絡先　部署名</t>
  </si>
  <si>
    <t>ご契約者連絡先　担当者名</t>
    <phoneticPr fontId="1"/>
  </si>
  <si>
    <t>メールアドレス</t>
    <phoneticPr fontId="1"/>
  </si>
  <si>
    <t>認証キー</t>
    <phoneticPr fontId="1"/>
  </si>
  <si>
    <t>ご使用データ形式（新規）</t>
    <phoneticPr fontId="1"/>
  </si>
  <si>
    <t>ご利用データ形式（変更）</t>
    <phoneticPr fontId="1"/>
  </si>
  <si>
    <t>BSお客様番号</t>
    <phoneticPr fontId="1"/>
  </si>
  <si>
    <t>申込プラン</t>
    <rPh sb="0" eb="2">
      <t>モウシコミ</t>
    </rPh>
    <phoneticPr fontId="1"/>
  </si>
  <si>
    <t>備考</t>
  </si>
  <si>
    <t>販売担当者　部署名</t>
  </si>
  <si>
    <t>販売担当者　担当者名</t>
  </si>
  <si>
    <t>販売担当者　電話番号</t>
  </si>
  <si>
    <t>販売担当者　メールアドレス</t>
  </si>
  <si>
    <t>エラー数チェック</t>
    <phoneticPr fontId="1"/>
  </si>
  <si>
    <t>bs-change.xlsx</t>
    <phoneticPr fontId="1"/>
  </si>
  <si>
    <t>番明</t>
    <rPh sb="0" eb="1">
      <t>バン</t>
    </rPh>
    <rPh sb="1" eb="2">
      <t>メイ</t>
    </rPh>
    <phoneticPr fontId="1"/>
  </si>
  <si>
    <t>新規は空</t>
    <rPh sb="0" eb="2">
      <t>シンキ</t>
    </rPh>
    <rPh sb="3" eb="4">
      <t>カラ</t>
    </rPh>
    <phoneticPr fontId="1"/>
  </si>
  <si>
    <t>ハイフンぬき、大文字にする</t>
    <rPh sb="7" eb="10">
      <t>オオモジ</t>
    </rPh>
    <phoneticPr fontId="1"/>
  </si>
  <si>
    <t>keiyakuid##</t>
    <phoneticPr fontId="1"/>
  </si>
  <si>
    <t>新規払い出し＝0
既存コードに追加＝1
番明新規の場合：NULL
番明変更/媒体新規かつ未選択の場合：0</t>
    <phoneticPr fontId="1"/>
  </si>
  <si>
    <t>「&amp;""」はつけない。Nullはダメ</t>
    <phoneticPr fontId="1"/>
  </si>
  <si>
    <t>申込区分</t>
  </si>
  <si>
    <t>請求種別</t>
  </si>
  <si>
    <t>ご請求番号</t>
  </si>
  <si>
    <t>請求番号ハイフンなし</t>
  </si>
  <si>
    <t>ご契約番号</t>
  </si>
  <si>
    <t>会社コード有無</t>
  </si>
  <si>
    <t>対象会社コード</t>
  </si>
  <si>
    <t>一括フラグ（ACCEL）</t>
  </si>
  <si>
    <t>分割有無</t>
  </si>
  <si>
    <t>分割番号（BELUGA）</t>
  </si>
  <si>
    <t>取得要否</t>
  </si>
  <si>
    <t>番号別明細内訳書
データ形式</t>
    <phoneticPr fontId="1"/>
  </si>
  <si>
    <t>変更しない</t>
    <rPh sb="0" eb="2">
      <t>ヘンコウ</t>
    </rPh>
    <phoneticPr fontId="1"/>
  </si>
  <si>
    <t>csv</t>
    <phoneticPr fontId="1"/>
  </si>
  <si>
    <t>固定長</t>
    <rPh sb="0" eb="3">
      <t>コテイチョウ</t>
    </rPh>
    <phoneticPr fontId="1"/>
  </si>
  <si>
    <t>一括希望</t>
  </si>
  <si>
    <t>一括希望する</t>
    <phoneticPr fontId="1"/>
  </si>
  <si>
    <t>一括希望しない</t>
    <rPh sb="0" eb="2">
      <t>イッカツ</t>
    </rPh>
    <rPh sb="2" eb="4">
      <t>キボウ</t>
    </rPh>
    <phoneticPr fontId="1"/>
  </si>
  <si>
    <t>契約名変更チェック</t>
    <rPh sb="0" eb="2">
      <t>ケイヤク</t>
    </rPh>
    <rPh sb="2" eb="3">
      <t>メイ</t>
    </rPh>
    <rPh sb="3" eb="5">
      <t>ヘンコウ</t>
    </rPh>
    <phoneticPr fontId="1"/>
  </si>
  <si>
    <t>✓</t>
    <phoneticPr fontId="1"/>
  </si>
  <si>
    <t>申込区分</t>
    <rPh sb="0" eb="2">
      <t>モウシコミ</t>
    </rPh>
    <rPh sb="2" eb="4">
      <t>クブン</t>
    </rPh>
    <phoneticPr fontId="1"/>
  </si>
  <si>
    <t>追加</t>
    <rPh sb="0" eb="2">
      <t>ツイカ</t>
    </rPh>
    <phoneticPr fontId="1"/>
  </si>
  <si>
    <t>削除</t>
    <rPh sb="0" eb="2">
      <t>サクジョ</t>
    </rPh>
    <phoneticPr fontId="1"/>
  </si>
  <si>
    <t>Excel表示にはcsv形式を選択ください。
ご請求番号が数字12桁の専用線サービスをご利用のお客さまは固定長のみの提供になります。</t>
    <rPh sb="5" eb="7">
      <t>ヒョウジ</t>
    </rPh>
    <rPh sb="12" eb="14">
      <t>ケイシキ</t>
    </rPh>
    <rPh sb="15" eb="17">
      <t>センタク</t>
    </rPh>
    <rPh sb="24" eb="26">
      <t>セイキュウ</t>
    </rPh>
    <rPh sb="26" eb="28">
      <t>バンゴウ</t>
    </rPh>
    <rPh sb="29" eb="31">
      <t>スウジ</t>
    </rPh>
    <rPh sb="33" eb="34">
      <t>ケタ</t>
    </rPh>
    <rPh sb="35" eb="38">
      <t>センヨウセン</t>
    </rPh>
    <rPh sb="44" eb="46">
      <t>リヨウ</t>
    </rPh>
    <rPh sb="48" eb="49">
      <t>キャク</t>
    </rPh>
    <rPh sb="52" eb="55">
      <t>コテイチョウ</t>
    </rPh>
    <rPh sb="58" eb="60">
      <t>テイキョウ</t>
    </rPh>
    <phoneticPr fontId="1"/>
  </si>
  <si>
    <t>本サービスについてプライバシーポリシー（https://www.ntt.com/about-us/hp/privacy.html）に同意し、
NTTドコモビジネス株式会社が定める
ビリングステーション利用規約に同意の上、下記の通り申込みます。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</si>
</sst>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_ "/>
    <numFmt numFmtId="177" formatCode="yyyy/mm/dd"/>
    <numFmt numFmtId="178" formatCode="0000000"/>
    <numFmt numFmtId="179" formatCode="0_);[Red]\(0\)"/>
    <numFmt numFmtId="180" formatCode="00"/>
  </numFmts>
  <fonts count="42">
    <font>
      <sz val="11"/>
      <name val="ＭＳ Ｐゴシック"/>
      <family val="3"/>
      <charset val="128"/>
    </font>
    <font>
      <sz val="6"/>
      <name val="ＭＳ Ｐゴシック"/>
      <family val="3"/>
      <charset val="128"/>
    </font>
    <font>
      <sz val="10"/>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18"/>
      <name val="ＭＳ Ｐゴシック"/>
      <family val="3"/>
      <charset val="128"/>
    </font>
    <font>
      <sz val="24"/>
      <name val="ＭＳ Ｐゴシック"/>
      <family val="3"/>
      <charset val="128"/>
    </font>
    <font>
      <sz val="14"/>
      <name val="ＭＳ Ｐゴシック"/>
      <family val="3"/>
      <charset val="128"/>
    </font>
    <font>
      <sz val="11"/>
      <color theme="1"/>
      <name val="ＭＳ Ｐゴシック"/>
      <family val="3"/>
      <charset val="128"/>
      <scheme val="minor"/>
    </font>
    <font>
      <sz val="11"/>
      <color theme="1"/>
      <name val="ＭＳ Ｐゴシック"/>
      <family val="3"/>
      <charset val="128"/>
    </font>
    <font>
      <sz val="20"/>
      <name val="ＭＳ ゴシック"/>
      <family val="3"/>
      <charset val="128"/>
    </font>
    <font>
      <sz val="11"/>
      <name val="Segoe UI Symbol"/>
      <family val="3"/>
    </font>
    <font>
      <sz val="10"/>
      <color theme="1"/>
      <name val="メイリオ"/>
      <family val="2"/>
      <charset val="128"/>
    </font>
    <font>
      <b/>
      <sz val="16"/>
      <color rgb="FF444444"/>
      <name val="メイリオ"/>
      <family val="3"/>
      <charset val="128"/>
    </font>
    <font>
      <sz val="6"/>
      <name val="メイリオ"/>
      <family val="2"/>
      <charset val="128"/>
    </font>
    <font>
      <sz val="10"/>
      <color theme="1"/>
      <name val="メイリオ"/>
      <family val="3"/>
      <charset val="128"/>
    </font>
    <font>
      <sz val="12"/>
      <color rgb="FFFF0000"/>
      <name val="メイリオ"/>
      <family val="3"/>
      <charset val="128"/>
    </font>
    <font>
      <sz val="12"/>
      <color theme="1"/>
      <name val="メイリオ"/>
      <family val="3"/>
      <charset val="128"/>
    </font>
    <font>
      <sz val="11"/>
      <name val="メイリオ"/>
      <family val="3"/>
      <charset val="128"/>
    </font>
    <font>
      <sz val="14"/>
      <name val="メイリオ"/>
      <family val="3"/>
      <charset val="128"/>
    </font>
    <font>
      <sz val="12"/>
      <name val="メイリオ"/>
      <family val="3"/>
      <charset val="128"/>
    </font>
    <font>
      <sz val="9"/>
      <name val="メイリオ"/>
      <family val="3"/>
      <charset val="128"/>
    </font>
    <font>
      <sz val="10"/>
      <name val="メイリオ"/>
      <family val="3"/>
      <charset val="128"/>
    </font>
    <font>
      <sz val="12"/>
      <color rgb="FF000000"/>
      <name val="メイリオ"/>
      <family val="3"/>
      <charset val="128"/>
    </font>
    <font>
      <sz val="10"/>
      <color rgb="FF000000"/>
      <name val="メイリオ"/>
      <family val="3"/>
      <charset val="128"/>
    </font>
    <font>
      <sz val="9"/>
      <color theme="1"/>
      <name val="メイリオ"/>
      <family val="3"/>
      <charset val="128"/>
    </font>
    <font>
      <sz val="9"/>
      <color rgb="FF000000"/>
      <name val="メイリオ"/>
      <family val="3"/>
      <charset val="128"/>
    </font>
    <font>
      <sz val="16"/>
      <name val="ＭＳ ゴシック"/>
      <family val="3"/>
      <charset val="128"/>
    </font>
    <font>
      <sz val="22"/>
      <name val="ＭＳ ゴシック"/>
      <family val="3"/>
      <charset val="128"/>
    </font>
    <font>
      <u/>
      <sz val="11"/>
      <color theme="10"/>
      <name val="ＭＳ Ｐゴシック"/>
      <family val="3"/>
      <charset val="128"/>
    </font>
    <font>
      <sz val="9"/>
      <color indexed="81"/>
      <name val="MS P ゴシック"/>
      <family val="3"/>
      <charset val="128"/>
    </font>
    <font>
      <b/>
      <sz val="10"/>
      <color indexed="81"/>
      <name val="MS P ゴシック"/>
      <family val="3"/>
      <charset val="128"/>
    </font>
    <font>
      <sz val="10"/>
      <color indexed="81"/>
      <name val="MS P ゴシック"/>
      <family val="3"/>
      <charset val="128"/>
    </font>
    <font>
      <sz val="11"/>
      <color theme="1"/>
      <name val="メイリオ"/>
      <family val="3"/>
      <charset val="128"/>
    </font>
    <font>
      <sz val="11"/>
      <color rgb="FF000000"/>
      <name val="メイリオ"/>
      <family val="3"/>
      <charset val="128"/>
    </font>
    <font>
      <u/>
      <sz val="12"/>
      <color theme="10"/>
      <name val="メイリオ"/>
      <family val="3"/>
      <charset val="128"/>
    </font>
  </fonts>
  <fills count="12">
    <fill>
      <patternFill patternType="none"/>
    </fill>
    <fill>
      <patternFill patternType="gray125"/>
    </fill>
    <fill>
      <patternFill patternType="solid">
        <fgColor indexed="41"/>
        <bgColor indexed="64"/>
      </patternFill>
    </fill>
    <fill>
      <patternFill patternType="solid">
        <fgColor theme="4" tint="0.79998168889431442"/>
        <bgColor theme="4" tint="0.79998168889431442"/>
      </patternFill>
    </fill>
    <fill>
      <patternFill patternType="solid">
        <fgColor theme="0" tint="-4.9989318521683403E-2"/>
        <bgColor theme="4" tint="0.79998168889431442"/>
      </patternFill>
    </fill>
    <fill>
      <patternFill patternType="solid">
        <fgColor theme="0" tint="-4.9989318521683403E-2"/>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CCFFFF"/>
        <bgColor indexed="64"/>
      </patternFill>
    </fill>
    <fill>
      <patternFill patternType="solid">
        <fgColor rgb="FFFF0000"/>
        <bgColor indexed="64"/>
      </patternFill>
    </fill>
    <fill>
      <patternFill patternType="solid">
        <fgColor rgb="FFFFFF00"/>
        <bgColor indexed="64"/>
      </patternFill>
    </fill>
  </fills>
  <borders count="59">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bottom style="thin">
        <color theme="4" tint="0.39997558519241921"/>
      </bottom>
      <diagonal/>
    </border>
    <border>
      <left/>
      <right/>
      <top style="thin">
        <color theme="4" tint="0.39997558519241921"/>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theme="4" tint="0.39997558519241921"/>
      </top>
      <bottom style="thin">
        <color theme="4" tint="0.39997558519241921"/>
      </bottom>
      <diagonal/>
    </border>
    <border>
      <left style="medium">
        <color indexed="64"/>
      </left>
      <right style="medium">
        <color indexed="64"/>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s>
  <cellStyleXfs count="6">
    <xf numFmtId="0" fontId="0" fillId="0" borderId="0"/>
    <xf numFmtId="0" fontId="3" fillId="0" borderId="0">
      <alignment vertical="center"/>
    </xf>
    <xf numFmtId="0" fontId="3" fillId="0" borderId="0"/>
    <xf numFmtId="0" fontId="14" fillId="0" borderId="0">
      <alignment vertical="center"/>
    </xf>
    <xf numFmtId="0" fontId="18" fillId="0" borderId="0">
      <alignment vertical="center"/>
    </xf>
    <xf numFmtId="0" fontId="35" fillId="0" borderId="0" applyNumberFormat="0" applyFill="0" applyBorder="0" applyAlignment="0" applyProtection="0"/>
  </cellStyleXfs>
  <cellXfs count="287">
    <xf numFmtId="0" fontId="0" fillId="0" borderId="0" xfId="0"/>
    <xf numFmtId="0" fontId="15" fillId="4" borderId="30" xfId="0" applyFont="1" applyFill="1" applyBorder="1"/>
    <xf numFmtId="0" fontId="15" fillId="5" borderId="30" xfId="0" applyFont="1" applyFill="1" applyBorder="1"/>
    <xf numFmtId="0" fontId="0" fillId="5" borderId="0" xfId="0" applyFill="1"/>
    <xf numFmtId="0" fontId="15" fillId="3" borderId="31" xfId="0" applyFont="1" applyFill="1" applyBorder="1"/>
    <xf numFmtId="0" fontId="15" fillId="0" borderId="31" xfId="0" applyFont="1" applyBorder="1"/>
    <xf numFmtId="0" fontId="15" fillId="0" borderId="31" xfId="0" applyFont="1" applyBorder="1" applyAlignment="1">
      <alignment wrapText="1"/>
    </xf>
    <xf numFmtId="0" fontId="0" fillId="0" borderId="0" xfId="0" applyAlignment="1">
      <alignment wrapText="1"/>
    </xf>
    <xf numFmtId="0" fontId="17" fillId="0" borderId="0" xfId="0" applyFont="1"/>
    <xf numFmtId="176" fontId="0" fillId="0" borderId="0" xfId="0" applyNumberFormat="1"/>
    <xf numFmtId="0" fontId="15" fillId="0" borderId="37" xfId="0" applyFont="1" applyBorder="1"/>
    <xf numFmtId="0" fontId="19" fillId="0" borderId="0" xfId="4" applyFont="1">
      <alignment vertical="center"/>
    </xf>
    <xf numFmtId="0" fontId="21" fillId="0" borderId="0" xfId="4" applyFont="1">
      <alignment vertical="center"/>
    </xf>
    <xf numFmtId="0" fontId="23" fillId="0" borderId="0" xfId="4" applyFont="1">
      <alignment vertical="center"/>
    </xf>
    <xf numFmtId="0" fontId="24" fillId="0" borderId="38" xfId="4" applyFont="1" applyBorder="1" applyAlignment="1">
      <alignment horizontal="center" vertical="center" wrapText="1"/>
    </xf>
    <xf numFmtId="0" fontId="26" fillId="0" borderId="38" xfId="4" applyFont="1" applyBorder="1" applyAlignment="1">
      <alignment horizontal="center" vertical="center" wrapText="1"/>
    </xf>
    <xf numFmtId="0" fontId="25" fillId="0" borderId="39" xfId="4" applyFont="1" applyBorder="1" applyAlignment="1">
      <alignment horizontal="center" vertical="center" wrapText="1"/>
    </xf>
    <xf numFmtId="0" fontId="31" fillId="0" borderId="0" xfId="4" applyFont="1">
      <alignment vertical="center"/>
    </xf>
    <xf numFmtId="0" fontId="27" fillId="0" borderId="41" xfId="4" applyFont="1" applyBorder="1" applyAlignment="1">
      <alignment horizontal="center" vertical="center" wrapText="1"/>
    </xf>
    <xf numFmtId="49" fontId="27" fillId="0" borderId="41" xfId="4" applyNumberFormat="1" applyFont="1" applyBorder="1" applyAlignment="1">
      <alignment horizontal="center" vertical="center"/>
    </xf>
    <xf numFmtId="0" fontId="32" fillId="0" borderId="41" xfId="4" applyFont="1" applyBorder="1" applyAlignment="1">
      <alignment horizontal="center" vertical="center" wrapText="1"/>
    </xf>
    <xf numFmtId="0" fontId="32" fillId="0" borderId="13" xfId="4" applyFont="1" applyBorder="1" applyAlignment="1">
      <alignment vertical="center" wrapText="1"/>
    </xf>
    <xf numFmtId="0" fontId="32" fillId="0" borderId="17" xfId="4" applyFont="1" applyBorder="1" applyAlignment="1">
      <alignment vertical="center" wrapText="1"/>
    </xf>
    <xf numFmtId="0" fontId="27" fillId="8" borderId="34" xfId="4" applyFont="1" applyFill="1" applyBorder="1" applyAlignment="1">
      <alignment horizontal="center" vertical="center" wrapText="1"/>
    </xf>
    <xf numFmtId="0" fontId="25" fillId="8" borderId="27" xfId="4" applyFont="1" applyFill="1" applyBorder="1">
      <alignment vertical="center"/>
    </xf>
    <xf numFmtId="0" fontId="27" fillId="8" borderId="27" xfId="4" applyFont="1" applyFill="1" applyBorder="1" applyAlignment="1">
      <alignment horizontal="center" vertical="center" wrapText="1"/>
    </xf>
    <xf numFmtId="0" fontId="25" fillId="0" borderId="27" xfId="4" applyFont="1" applyBorder="1">
      <alignment vertical="center"/>
    </xf>
    <xf numFmtId="0" fontId="25" fillId="0" borderId="33" xfId="4" applyFont="1" applyBorder="1">
      <alignment vertical="center"/>
    </xf>
    <xf numFmtId="0" fontId="24" fillId="0" borderId="38" xfId="0" applyFont="1" applyBorder="1" applyAlignment="1">
      <alignment horizontal="center" vertical="center" wrapText="1"/>
    </xf>
    <xf numFmtId="0" fontId="27" fillId="0" borderId="41" xfId="0" applyFont="1" applyBorder="1" applyAlignment="1">
      <alignment horizontal="center" vertical="center" wrapText="1"/>
    </xf>
    <xf numFmtId="0" fontId="3" fillId="0" borderId="0" xfId="1">
      <alignment vertical="center"/>
    </xf>
    <xf numFmtId="0" fontId="5" fillId="0" borderId="0" xfId="1" applyFont="1" applyAlignment="1">
      <alignment horizontal="center" vertical="center"/>
    </xf>
    <xf numFmtId="0" fontId="13" fillId="0" borderId="3" xfId="1" applyFont="1" applyBorder="1">
      <alignment vertical="center"/>
    </xf>
    <xf numFmtId="176" fontId="13" fillId="0" borderId="4" xfId="1" applyNumberFormat="1" applyFont="1" applyBorder="1">
      <alignment vertical="center"/>
    </xf>
    <xf numFmtId="0" fontId="3" fillId="0" borderId="0" xfId="1" applyAlignment="1">
      <alignment vertical="center" wrapText="1"/>
    </xf>
    <xf numFmtId="0" fontId="4" fillId="0" borderId="0" xfId="1" applyFont="1">
      <alignment vertical="center"/>
    </xf>
    <xf numFmtId="0" fontId="9" fillId="0" borderId="0" xfId="1" applyFont="1">
      <alignment vertical="center"/>
    </xf>
    <xf numFmtId="0" fontId="2" fillId="9" borderId="3" xfId="1" applyFont="1" applyFill="1" applyBorder="1">
      <alignment vertical="center"/>
    </xf>
    <xf numFmtId="0" fontId="2" fillId="9" borderId="10" xfId="1" applyFont="1" applyFill="1" applyBorder="1">
      <alignment vertical="center"/>
    </xf>
    <xf numFmtId="0" fontId="2" fillId="9" borderId="4" xfId="1" applyFont="1" applyFill="1" applyBorder="1">
      <alignment vertical="center"/>
    </xf>
    <xf numFmtId="0" fontId="2" fillId="0" borderId="3" xfId="1" applyFont="1" applyBorder="1">
      <alignment vertical="center"/>
    </xf>
    <xf numFmtId="0" fontId="2" fillId="0" borderId="4" xfId="1" applyFont="1" applyBorder="1">
      <alignment vertical="center"/>
    </xf>
    <xf numFmtId="0" fontId="11" fillId="9" borderId="10" xfId="1" applyFont="1" applyFill="1" applyBorder="1">
      <alignment vertical="center"/>
    </xf>
    <xf numFmtId="0" fontId="11" fillId="9" borderId="4" xfId="1" applyFont="1" applyFill="1" applyBorder="1">
      <alignment vertical="center"/>
    </xf>
    <xf numFmtId="0" fontId="9" fillId="2" borderId="0" xfId="1" applyFont="1" applyFill="1">
      <alignment vertical="center"/>
    </xf>
    <xf numFmtId="0" fontId="9" fillId="2" borderId="8" xfId="1" applyFont="1" applyFill="1" applyBorder="1">
      <alignment vertical="center"/>
    </xf>
    <xf numFmtId="0" fontId="2" fillId="0" borderId="10" xfId="1" applyFont="1" applyBorder="1">
      <alignment vertical="center"/>
    </xf>
    <xf numFmtId="0" fontId="9" fillId="9" borderId="10" xfId="1" applyFont="1" applyFill="1" applyBorder="1">
      <alignment vertical="center"/>
    </xf>
    <xf numFmtId="0" fontId="3" fillId="9" borderId="10" xfId="1" applyFill="1" applyBorder="1">
      <alignment vertical="center"/>
    </xf>
    <xf numFmtId="0" fontId="9" fillId="9" borderId="4" xfId="1" applyFont="1" applyFill="1" applyBorder="1">
      <alignment vertical="center"/>
    </xf>
    <xf numFmtId="0" fontId="9" fillId="9" borderId="11" xfId="1" applyFont="1" applyFill="1" applyBorder="1">
      <alignment vertical="center"/>
    </xf>
    <xf numFmtId="0" fontId="9" fillId="9" borderId="0" xfId="1" applyFont="1" applyFill="1">
      <alignment vertical="center"/>
    </xf>
    <xf numFmtId="0" fontId="9" fillId="9" borderId="5" xfId="1" applyFont="1" applyFill="1" applyBorder="1">
      <alignment vertical="center"/>
    </xf>
    <xf numFmtId="0" fontId="9" fillId="9" borderId="7" xfId="1" applyFont="1" applyFill="1" applyBorder="1">
      <alignment vertical="center"/>
    </xf>
    <xf numFmtId="0" fontId="9" fillId="9" borderId="12" xfId="1" applyFont="1" applyFill="1" applyBorder="1">
      <alignment vertical="center"/>
    </xf>
    <xf numFmtId="0" fontId="9" fillId="9" borderId="13" xfId="1" applyFont="1" applyFill="1" applyBorder="1">
      <alignment vertical="center"/>
    </xf>
    <xf numFmtId="0" fontId="9" fillId="9" borderId="14" xfId="1" applyFont="1" applyFill="1" applyBorder="1">
      <alignment vertical="center"/>
    </xf>
    <xf numFmtId="0" fontId="2" fillId="0" borderId="0" xfId="1" applyFont="1" applyAlignment="1">
      <alignment horizontal="center" vertical="center"/>
    </xf>
    <xf numFmtId="0" fontId="6" fillId="0" borderId="0" xfId="1" applyFont="1" applyAlignment="1">
      <alignment horizontal="center" vertical="center" wrapText="1"/>
    </xf>
    <xf numFmtId="0" fontId="3" fillId="0" borderId="0" xfId="1" applyAlignment="1">
      <alignment horizontal="left" vertical="center" wrapText="1"/>
    </xf>
    <xf numFmtId="0" fontId="6" fillId="0" borderId="0" xfId="1" applyFont="1" applyAlignment="1">
      <alignment horizontal="left" vertical="center" wrapText="1"/>
    </xf>
    <xf numFmtId="0" fontId="0" fillId="0" borderId="0" xfId="1" applyFont="1">
      <alignment vertical="center"/>
    </xf>
    <xf numFmtId="0" fontId="9" fillId="0" borderId="1" xfId="1" applyFont="1" applyBorder="1">
      <alignment vertical="center"/>
    </xf>
    <xf numFmtId="0" fontId="9" fillId="0" borderId="2" xfId="1" applyFont="1" applyBorder="1">
      <alignment vertical="center"/>
    </xf>
    <xf numFmtId="0" fontId="9" fillId="0" borderId="8" xfId="1" applyFont="1" applyBorder="1">
      <alignment vertical="center"/>
    </xf>
    <xf numFmtId="0" fontId="11" fillId="0" borderId="3" xfId="1" applyFont="1" applyBorder="1" applyAlignment="1">
      <alignment horizontal="left" vertical="center" wrapText="1"/>
    </xf>
    <xf numFmtId="0" fontId="11" fillId="0" borderId="10" xfId="1" applyFont="1" applyBorder="1" applyAlignment="1">
      <alignment horizontal="left" vertical="center" wrapText="1"/>
    </xf>
    <xf numFmtId="0" fontId="11" fillId="0" borderId="4" xfId="1" applyFont="1" applyBorder="1" applyAlignment="1">
      <alignment horizontal="left" vertical="center" wrapText="1"/>
    </xf>
    <xf numFmtId="0" fontId="26" fillId="0" borderId="29" xfId="0" applyFont="1" applyBorder="1" applyAlignment="1" applyProtection="1">
      <alignment vertical="center"/>
      <protection locked="0"/>
    </xf>
    <xf numFmtId="0" fontId="25" fillId="0" borderId="27" xfId="4" applyFont="1" applyBorder="1" applyProtection="1">
      <alignment vertical="center"/>
      <protection locked="0"/>
    </xf>
    <xf numFmtId="0" fontId="25" fillId="0" borderId="29" xfId="4" applyFont="1" applyBorder="1" applyProtection="1">
      <alignment vertical="center"/>
      <protection locked="0"/>
    </xf>
    <xf numFmtId="0" fontId="25" fillId="0" borderId="33" xfId="4" applyFont="1" applyBorder="1" applyProtection="1">
      <alignment vertical="center"/>
      <protection locked="0"/>
    </xf>
    <xf numFmtId="179" fontId="25" fillId="8" borderId="34" xfId="4" applyNumberFormat="1" applyFont="1" applyFill="1" applyBorder="1" applyAlignment="1">
      <alignment horizontal="left" vertical="center" wrapText="1"/>
    </xf>
    <xf numFmtId="179" fontId="25" fillId="8" borderId="27" xfId="4" applyNumberFormat="1" applyFont="1" applyFill="1" applyBorder="1" applyAlignment="1">
      <alignment horizontal="left" vertical="center" wrapText="1"/>
    </xf>
    <xf numFmtId="0" fontId="26" fillId="8" borderId="29" xfId="0" applyFont="1" applyFill="1" applyBorder="1" applyAlignment="1">
      <alignment vertical="center"/>
    </xf>
    <xf numFmtId="49" fontId="25" fillId="0" borderId="27" xfId="4" applyNumberFormat="1" applyFont="1" applyBorder="1" applyAlignment="1" applyProtection="1">
      <alignment horizontal="left" vertical="center"/>
      <protection locked="0"/>
    </xf>
    <xf numFmtId="49" fontId="25" fillId="0" borderId="33" xfId="4" applyNumberFormat="1" applyFont="1" applyBorder="1" applyAlignment="1" applyProtection="1">
      <alignment horizontal="left" vertical="center"/>
      <protection locked="0"/>
    </xf>
    <xf numFmtId="0" fontId="26" fillId="0" borderId="27" xfId="0" applyFont="1" applyBorder="1" applyAlignment="1" applyProtection="1">
      <alignment vertical="center"/>
      <protection locked="0"/>
    </xf>
    <xf numFmtId="0" fontId="26" fillId="0" borderId="33" xfId="0" applyFont="1" applyBorder="1" applyAlignment="1" applyProtection="1">
      <alignment vertical="center"/>
      <protection locked="0"/>
    </xf>
    <xf numFmtId="0" fontId="8" fillId="0" borderId="3" xfId="1" applyFont="1" applyBorder="1">
      <alignment vertical="center"/>
    </xf>
    <xf numFmtId="0" fontId="22" fillId="0" borderId="0" xfId="4" applyFont="1" applyAlignment="1">
      <alignment vertical="center" wrapText="1"/>
    </xf>
    <xf numFmtId="0" fontId="25" fillId="0" borderId="40" xfId="4" applyFont="1" applyBorder="1" applyAlignment="1">
      <alignment horizontal="center" vertical="center" wrapText="1"/>
    </xf>
    <xf numFmtId="179" fontId="25" fillId="8" borderId="26" xfId="4" applyNumberFormat="1" applyFont="1" applyFill="1" applyBorder="1" applyAlignment="1">
      <alignment horizontal="left" vertical="center"/>
    </xf>
    <xf numFmtId="179" fontId="25" fillId="8" borderId="35" xfId="4" applyNumberFormat="1" applyFont="1" applyFill="1" applyBorder="1" applyAlignment="1">
      <alignment horizontal="left" vertical="center"/>
    </xf>
    <xf numFmtId="49" fontId="25" fillId="0" borderId="35" xfId="4" applyNumberFormat="1" applyFont="1" applyBorder="1" applyAlignment="1" applyProtection="1">
      <alignment horizontal="left" vertical="center"/>
      <protection locked="0"/>
    </xf>
    <xf numFmtId="49" fontId="25" fillId="0" borderId="21" xfId="4" applyNumberFormat="1" applyFont="1" applyBorder="1" applyAlignment="1" applyProtection="1">
      <alignment horizontal="left" vertical="center"/>
      <protection locked="0"/>
    </xf>
    <xf numFmtId="49" fontId="25" fillId="0" borderId="35" xfId="4" applyNumberFormat="1" applyFont="1" applyBorder="1" applyAlignment="1" applyProtection="1">
      <alignment horizontal="left"/>
      <protection locked="0"/>
    </xf>
    <xf numFmtId="49" fontId="25" fillId="0" borderId="36" xfId="4" applyNumberFormat="1" applyFont="1" applyBorder="1" applyAlignment="1" applyProtection="1">
      <alignment horizontal="left" vertical="center"/>
      <protection locked="0"/>
    </xf>
    <xf numFmtId="49" fontId="27" fillId="0" borderId="17" xfId="4" applyNumberFormat="1" applyFont="1" applyBorder="1" applyAlignment="1">
      <alignment horizontal="center" vertical="center" wrapText="1"/>
    </xf>
    <xf numFmtId="49" fontId="27" fillId="0" borderId="20" xfId="4" applyNumberFormat="1" applyFont="1" applyBorder="1" applyAlignment="1">
      <alignment horizontal="center" vertical="center" wrapText="1"/>
    </xf>
    <xf numFmtId="0" fontId="21" fillId="0" borderId="0" xfId="4" applyFont="1" applyAlignment="1">
      <alignment horizontal="center" vertical="center"/>
    </xf>
    <xf numFmtId="179" fontId="25" fillId="8" borderId="23" xfId="4" applyNumberFormat="1" applyFont="1" applyFill="1" applyBorder="1" applyAlignment="1">
      <alignment horizontal="center" vertical="center"/>
    </xf>
    <xf numFmtId="179" fontId="25" fillId="8" borderId="22" xfId="4" applyNumberFormat="1" applyFont="1" applyFill="1" applyBorder="1" applyAlignment="1">
      <alignment horizontal="center" vertical="center"/>
    </xf>
    <xf numFmtId="0" fontId="25" fillId="0" borderId="22" xfId="4" applyFont="1" applyBorder="1" applyAlignment="1" applyProtection="1">
      <alignment horizontal="center" vertical="center"/>
      <protection locked="0"/>
    </xf>
    <xf numFmtId="0" fontId="25" fillId="0" borderId="54" xfId="4" applyFont="1" applyBorder="1" applyAlignment="1" applyProtection="1">
      <alignment horizontal="center" vertical="center"/>
      <protection locked="0"/>
    </xf>
    <xf numFmtId="0" fontId="24" fillId="8" borderId="21" xfId="0" applyFont="1" applyFill="1" applyBorder="1" applyAlignment="1" applyProtection="1">
      <alignment horizontal="left" vertical="center"/>
      <protection locked="0"/>
    </xf>
    <xf numFmtId="0" fontId="24" fillId="8" borderId="21" xfId="4" applyFont="1" applyFill="1" applyBorder="1" applyAlignment="1">
      <alignment horizontal="left" vertical="center" wrapText="1"/>
    </xf>
    <xf numFmtId="0" fontId="24" fillId="8" borderId="21" xfId="4" applyFont="1" applyFill="1" applyBorder="1" applyAlignment="1">
      <alignment horizontal="center" vertical="center"/>
    </xf>
    <xf numFmtId="0" fontId="39" fillId="8" borderId="35" xfId="4" applyFont="1" applyFill="1" applyBorder="1">
      <alignment vertical="center"/>
    </xf>
    <xf numFmtId="49" fontId="40" fillId="8" borderId="42" xfId="4" applyNumberFormat="1" applyFont="1" applyFill="1" applyBorder="1" applyAlignment="1">
      <alignment vertical="center" wrapText="1"/>
    </xf>
    <xf numFmtId="49" fontId="40" fillId="8" borderId="43" xfId="4" applyNumberFormat="1" applyFont="1" applyFill="1" applyBorder="1" applyAlignment="1">
      <alignment horizontal="right" vertical="center" wrapText="1"/>
    </xf>
    <xf numFmtId="49" fontId="40" fillId="8" borderId="43" xfId="4" applyNumberFormat="1" applyFont="1" applyFill="1" applyBorder="1" applyAlignment="1">
      <alignment vertical="center" wrapText="1"/>
    </xf>
    <xf numFmtId="49" fontId="24" fillId="0" borderId="21" xfId="0" applyNumberFormat="1" applyFont="1" applyBorder="1" applyAlignment="1" applyProtection="1">
      <alignment horizontal="left" vertical="center"/>
      <protection locked="0"/>
    </xf>
    <xf numFmtId="49" fontId="39" fillId="0" borderId="35" xfId="4" applyNumberFormat="1" applyFont="1" applyBorder="1" applyProtection="1">
      <alignment vertical="center"/>
      <protection locked="0"/>
    </xf>
    <xf numFmtId="180" fontId="39" fillId="0" borderId="43" xfId="4" applyNumberFormat="1" applyFont="1" applyBorder="1" applyAlignment="1" applyProtection="1">
      <alignment horizontal="right" vertical="center"/>
      <protection locked="0"/>
    </xf>
    <xf numFmtId="180" fontId="24" fillId="0" borderId="45" xfId="0" applyNumberFormat="1" applyFont="1" applyBorder="1" applyAlignment="1" applyProtection="1">
      <alignment horizontal="left" vertical="center"/>
      <protection locked="0"/>
    </xf>
    <xf numFmtId="49" fontId="24" fillId="0" borderId="35" xfId="0" applyNumberFormat="1" applyFont="1" applyBorder="1" applyAlignment="1" applyProtection="1">
      <alignment horizontal="left" vertical="center"/>
      <protection locked="0"/>
    </xf>
    <xf numFmtId="180" fontId="24" fillId="0" borderId="43" xfId="0" applyNumberFormat="1" applyFont="1" applyBorder="1" applyAlignment="1" applyProtection="1">
      <alignment horizontal="left" vertical="center"/>
      <protection locked="0"/>
    </xf>
    <xf numFmtId="49" fontId="24" fillId="0" borderId="36" xfId="0" applyNumberFormat="1" applyFont="1" applyBorder="1" applyAlignment="1" applyProtection="1">
      <alignment horizontal="left" vertical="center"/>
      <protection locked="0"/>
    </xf>
    <xf numFmtId="49" fontId="39" fillId="0" borderId="36" xfId="4" applyNumberFormat="1" applyFont="1" applyBorder="1" applyProtection="1">
      <alignment vertical="center"/>
      <protection locked="0"/>
    </xf>
    <xf numFmtId="180" fontId="24" fillId="0" borderId="46" xfId="0" applyNumberFormat="1" applyFont="1" applyBorder="1" applyAlignment="1" applyProtection="1">
      <alignment horizontal="left" vertical="center"/>
      <protection locked="0"/>
    </xf>
    <xf numFmtId="178" fontId="0" fillId="0" borderId="0" xfId="0" applyNumberFormat="1"/>
    <xf numFmtId="0" fontId="0" fillId="0" borderId="55" xfId="0" applyBorder="1"/>
    <xf numFmtId="0" fontId="0" fillId="7" borderId="56" xfId="0" applyFill="1" applyBorder="1"/>
    <xf numFmtId="0" fontId="0" fillId="0" borderId="57" xfId="0" applyBorder="1"/>
    <xf numFmtId="0" fontId="0" fillId="7" borderId="58" xfId="0" applyFill="1" applyBorder="1"/>
    <xf numFmtId="0" fontId="15" fillId="5" borderId="30" xfId="0" applyFont="1" applyFill="1" applyBorder="1" applyAlignment="1">
      <alignment wrapText="1"/>
    </xf>
    <xf numFmtId="0" fontId="15" fillId="10" borderId="30" xfId="0" applyFont="1" applyFill="1" applyBorder="1" applyAlignment="1">
      <alignment wrapText="1"/>
    </xf>
    <xf numFmtId="0" fontId="15" fillId="3" borderId="32" xfId="0" applyFont="1" applyFill="1" applyBorder="1" applyAlignment="1">
      <alignment wrapText="1"/>
    </xf>
    <xf numFmtId="14" fontId="15" fillId="0" borderId="32" xfId="0" applyNumberFormat="1" applyFont="1" applyBorder="1" applyAlignment="1">
      <alignment wrapText="1"/>
    </xf>
    <xf numFmtId="0" fontId="15" fillId="0" borderId="32" xfId="0" applyFont="1" applyBorder="1" applyAlignment="1">
      <alignment wrapText="1"/>
    </xf>
    <xf numFmtId="0" fontId="15" fillId="3" borderId="0" xfId="0" applyFont="1" applyFill="1" applyAlignment="1">
      <alignment wrapText="1"/>
    </xf>
    <xf numFmtId="49" fontId="39" fillId="0" borderId="43" xfId="4" applyNumberFormat="1" applyFont="1" applyBorder="1" applyAlignment="1" applyProtection="1">
      <alignment horizontal="left" vertical="center"/>
      <protection locked="0"/>
    </xf>
    <xf numFmtId="49" fontId="24" fillId="0" borderId="45" xfId="0" applyNumberFormat="1" applyFont="1" applyBorder="1" applyAlignment="1" applyProtection="1">
      <alignment horizontal="left" vertical="center"/>
      <protection locked="0"/>
    </xf>
    <xf numFmtId="49" fontId="24" fillId="0" borderId="43" xfId="0" applyNumberFormat="1" applyFont="1" applyBorder="1" applyAlignment="1" applyProtection="1">
      <alignment horizontal="left" vertical="center"/>
      <protection locked="0"/>
    </xf>
    <xf numFmtId="49" fontId="24" fillId="0" borderId="46" xfId="0" applyNumberFormat="1" applyFont="1" applyBorder="1" applyAlignment="1" applyProtection="1">
      <alignment horizontal="left" vertical="center"/>
      <protection locked="0"/>
    </xf>
    <xf numFmtId="0" fontId="25" fillId="0" borderId="22" xfId="4" applyFont="1" applyBorder="1" applyAlignment="1">
      <alignment horizontal="center" vertical="center"/>
    </xf>
    <xf numFmtId="0" fontId="25" fillId="0" borderId="54" xfId="4" applyFont="1" applyBorder="1" applyAlignment="1">
      <alignment horizontal="center" vertical="center"/>
    </xf>
    <xf numFmtId="0" fontId="41" fillId="0" borderId="0" xfId="5" applyFont="1" applyAlignment="1">
      <alignment vertical="center"/>
    </xf>
    <xf numFmtId="0" fontId="41" fillId="0" borderId="0" xfId="5" applyFont="1" applyAlignment="1" applyProtection="1">
      <alignment vertical="center"/>
      <protection locked="0"/>
    </xf>
    <xf numFmtId="0" fontId="21" fillId="0" borderId="0" xfId="4" applyFont="1" applyAlignment="1" applyProtection="1">
      <alignment horizontal="center" vertical="center"/>
      <protection locked="0"/>
    </xf>
    <xf numFmtId="0" fontId="21" fillId="0" borderId="0" xfId="4" applyFont="1" applyProtection="1">
      <alignment vertical="center"/>
      <protection locked="0"/>
    </xf>
    <xf numFmtId="0" fontId="0" fillId="11" borderId="0" xfId="0" applyFill="1"/>
    <xf numFmtId="0" fontId="3" fillId="0" borderId="9" xfId="1" applyBorder="1" applyAlignment="1">
      <alignment horizontal="center" vertical="center"/>
    </xf>
    <xf numFmtId="0" fontId="3" fillId="0" borderId="1" xfId="1" applyBorder="1" applyAlignment="1">
      <alignment horizontal="center" vertical="center"/>
    </xf>
    <xf numFmtId="0" fontId="3" fillId="0" borderId="2" xfId="1" applyBorder="1" applyAlignment="1">
      <alignment horizontal="center" vertical="center"/>
    </xf>
    <xf numFmtId="0" fontId="3" fillId="0" borderId="6" xfId="1" applyBorder="1" applyAlignment="1">
      <alignment horizontal="center" vertical="center"/>
    </xf>
    <xf numFmtId="0" fontId="3" fillId="0" borderId="5" xfId="1" applyBorder="1" applyAlignment="1">
      <alignment horizontal="center" vertical="center"/>
    </xf>
    <xf numFmtId="0" fontId="3" fillId="0" borderId="7" xfId="1" applyBorder="1" applyAlignment="1">
      <alignment horizontal="center" vertical="center"/>
    </xf>
    <xf numFmtId="0" fontId="3" fillId="0" borderId="0" xfId="1" applyAlignment="1">
      <alignment horizontal="center" vertical="center"/>
    </xf>
    <xf numFmtId="0" fontId="3" fillId="0" borderId="8" xfId="1" applyBorder="1" applyAlignment="1">
      <alignment horizontal="center" vertical="center"/>
    </xf>
    <xf numFmtId="0" fontId="5" fillId="0" borderId="0" xfId="1" applyFont="1" applyAlignment="1">
      <alignment horizontal="center" vertical="center"/>
    </xf>
    <xf numFmtId="0" fontId="9" fillId="2" borderId="18" xfId="1" applyFont="1" applyFill="1" applyBorder="1" applyAlignment="1">
      <alignment horizontal="center" wrapText="1"/>
    </xf>
    <xf numFmtId="0" fontId="9" fillId="2" borderId="1" xfId="1" applyFont="1" applyFill="1" applyBorder="1" applyAlignment="1">
      <alignment horizontal="center" wrapText="1"/>
    </xf>
    <xf numFmtId="0" fontId="9" fillId="2" borderId="2" xfId="1" applyFont="1" applyFill="1" applyBorder="1" applyAlignment="1">
      <alignment horizontal="center" wrapText="1"/>
    </xf>
    <xf numFmtId="0" fontId="9" fillId="2" borderId="21" xfId="1" applyFont="1" applyFill="1" applyBorder="1" applyAlignment="1">
      <alignment horizontal="center" wrapText="1"/>
    </xf>
    <xf numFmtId="0" fontId="9" fillId="2" borderId="5" xfId="1" applyFont="1" applyFill="1" applyBorder="1" applyAlignment="1">
      <alignment horizontal="center" wrapText="1"/>
    </xf>
    <xf numFmtId="0" fontId="7" fillId="0" borderId="0" xfId="0" applyFont="1" applyAlignment="1">
      <alignment horizontal="center" vertical="center" wrapText="1"/>
    </xf>
    <xf numFmtId="14" fontId="2" fillId="0" borderId="28" xfId="1" applyNumberFormat="1" applyFont="1" applyBorder="1" applyAlignment="1">
      <alignment horizontal="center" vertical="center" wrapText="1"/>
    </xf>
    <xf numFmtId="0" fontId="2" fillId="0" borderId="25" xfId="1" applyFont="1" applyBorder="1" applyAlignment="1">
      <alignment horizontal="center" vertical="center"/>
    </xf>
    <xf numFmtId="0" fontId="2" fillId="0" borderId="23" xfId="1" applyFont="1" applyBorder="1" applyAlignment="1">
      <alignment horizontal="center" vertical="center"/>
    </xf>
    <xf numFmtId="0" fontId="2" fillId="0" borderId="9" xfId="1" applyFont="1" applyBorder="1" applyAlignment="1">
      <alignment horizontal="center" vertical="center" wrapText="1"/>
    </xf>
    <xf numFmtId="0" fontId="2" fillId="0" borderId="1"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6" xfId="1" applyFont="1" applyBorder="1" applyAlignment="1">
      <alignment horizontal="center" vertical="center" wrapText="1"/>
    </xf>
    <xf numFmtId="0" fontId="2" fillId="0" borderId="5" xfId="1" applyFont="1" applyBorder="1" applyAlignment="1">
      <alignment horizontal="center" vertical="center" wrapText="1"/>
    </xf>
    <xf numFmtId="0" fontId="2" fillId="0" borderId="16" xfId="1" applyFont="1" applyBorder="1" applyAlignment="1">
      <alignment horizontal="center" vertical="center" wrapText="1"/>
    </xf>
    <xf numFmtId="14" fontId="2" fillId="0" borderId="3" xfId="1" applyNumberFormat="1" applyFont="1" applyBorder="1" applyAlignment="1">
      <alignment horizontal="center" vertical="center" wrapText="1"/>
    </xf>
    <xf numFmtId="14" fontId="2" fillId="0" borderId="10" xfId="1" applyNumberFormat="1" applyFont="1" applyBorder="1" applyAlignment="1">
      <alignment horizontal="center" vertical="center" wrapText="1"/>
    </xf>
    <xf numFmtId="14" fontId="2" fillId="0" borderId="22" xfId="1" applyNumberFormat="1" applyFont="1" applyBorder="1" applyAlignment="1">
      <alignment horizontal="center" vertical="center" wrapText="1"/>
    </xf>
    <xf numFmtId="177" fontId="33" fillId="0" borderId="28" xfId="0" applyNumberFormat="1" applyFont="1" applyBorder="1" applyAlignment="1" applyProtection="1">
      <alignment horizontal="left" vertical="center"/>
      <protection locked="0"/>
    </xf>
    <xf numFmtId="177" fontId="33" fillId="0" borderId="25" xfId="0" applyNumberFormat="1" applyFont="1" applyBorder="1" applyAlignment="1" applyProtection="1">
      <alignment horizontal="left" vertical="center"/>
      <protection locked="0"/>
    </xf>
    <xf numFmtId="177" fontId="33" fillId="0" borderId="24" xfId="0" applyNumberFormat="1" applyFont="1" applyBorder="1" applyAlignment="1" applyProtection="1">
      <alignment horizontal="left" vertical="center"/>
      <protection locked="0"/>
    </xf>
    <xf numFmtId="49" fontId="34" fillId="0" borderId="10" xfId="0" applyNumberFormat="1" applyFont="1" applyBorder="1" applyAlignment="1" applyProtection="1">
      <alignment horizontal="left" vertical="center"/>
      <protection locked="0"/>
    </xf>
    <xf numFmtId="49" fontId="34" fillId="0" borderId="4" xfId="0" applyNumberFormat="1" applyFont="1" applyBorder="1" applyAlignment="1" applyProtection="1">
      <alignment horizontal="left" vertical="center"/>
      <protection locked="0"/>
    </xf>
    <xf numFmtId="0" fontId="11" fillId="0" borderId="3" xfId="1" applyFont="1" applyBorder="1" applyAlignment="1" applyProtection="1">
      <alignment horizontal="center" vertical="center"/>
      <protection locked="0"/>
    </xf>
    <xf numFmtId="0" fontId="11" fillId="0" borderId="4" xfId="1" applyFont="1" applyBorder="1" applyAlignment="1" applyProtection="1">
      <alignment horizontal="center" vertical="center"/>
      <protection locked="0"/>
    </xf>
    <xf numFmtId="14" fontId="16" fillId="0" borderId="3" xfId="0" applyNumberFormat="1" applyFont="1" applyBorder="1" applyAlignment="1">
      <alignment horizontal="right" vertical="center"/>
    </xf>
    <xf numFmtId="14" fontId="16" fillId="0" borderId="10" xfId="0" applyNumberFormat="1" applyFont="1" applyBorder="1" applyAlignment="1">
      <alignment horizontal="right" vertical="center"/>
    </xf>
    <xf numFmtId="0" fontId="10" fillId="2" borderId="26" xfId="0" applyFont="1" applyFill="1" applyBorder="1" applyAlignment="1">
      <alignment horizontal="left" vertical="center"/>
    </xf>
    <xf numFmtId="0" fontId="10" fillId="2" borderId="25" xfId="0" applyFont="1" applyFill="1" applyBorder="1" applyAlignment="1">
      <alignment horizontal="left" vertical="center"/>
    </xf>
    <xf numFmtId="0" fontId="10" fillId="2" borderId="24" xfId="0" applyFont="1" applyFill="1" applyBorder="1" applyAlignment="1">
      <alignment horizontal="left" vertical="center"/>
    </xf>
    <xf numFmtId="49" fontId="13" fillId="0" borderId="3" xfId="1" applyNumberFormat="1" applyFont="1" applyBorder="1" applyAlignment="1" applyProtection="1">
      <alignment horizontal="left" vertical="center" wrapText="1"/>
      <protection locked="0"/>
    </xf>
    <xf numFmtId="49" fontId="13" fillId="0" borderId="10" xfId="1" applyNumberFormat="1" applyFont="1" applyBorder="1" applyAlignment="1" applyProtection="1">
      <alignment horizontal="left" vertical="center"/>
      <protection locked="0"/>
    </xf>
    <xf numFmtId="49" fontId="13" fillId="0" borderId="4" xfId="1" applyNumberFormat="1" applyFont="1" applyBorder="1" applyAlignment="1" applyProtection="1">
      <alignment horizontal="left" vertical="center"/>
      <protection locked="0"/>
    </xf>
    <xf numFmtId="49" fontId="11" fillId="0" borderId="3" xfId="1" applyNumberFormat="1" applyFont="1" applyBorder="1" applyAlignment="1" applyProtection="1">
      <alignment horizontal="left" vertical="center" wrapText="1"/>
      <protection locked="0"/>
    </xf>
    <xf numFmtId="49" fontId="11" fillId="0" borderId="10" xfId="1" applyNumberFormat="1" applyFont="1" applyBorder="1" applyAlignment="1" applyProtection="1">
      <alignment horizontal="left" vertical="center"/>
      <protection locked="0"/>
    </xf>
    <xf numFmtId="49" fontId="11" fillId="0" borderId="4" xfId="1" applyNumberFormat="1" applyFont="1" applyBorder="1" applyAlignment="1" applyProtection="1">
      <alignment horizontal="left" vertical="center"/>
      <protection locked="0"/>
    </xf>
    <xf numFmtId="0" fontId="10" fillId="2" borderId="35"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2" fillId="0" borderId="3" xfId="1" applyFont="1" applyBorder="1" applyAlignment="1">
      <alignment horizontal="center" vertical="center"/>
    </xf>
    <xf numFmtId="0" fontId="2" fillId="0" borderId="10" xfId="1" applyFont="1" applyBorder="1" applyAlignment="1">
      <alignment horizontal="center" vertical="center"/>
    </xf>
    <xf numFmtId="0" fontId="2" fillId="0" borderId="22" xfId="1" applyFont="1" applyBorder="1" applyAlignment="1">
      <alignment horizontal="center" vertical="center"/>
    </xf>
    <xf numFmtId="0" fontId="35" fillId="0" borderId="9" xfId="5" applyBorder="1" applyAlignment="1" applyProtection="1">
      <alignment horizontal="left" vertical="center"/>
      <protection locked="0"/>
    </xf>
    <xf numFmtId="0" fontId="3" fillId="0" borderId="1" xfId="1" applyBorder="1" applyAlignment="1" applyProtection="1">
      <alignment horizontal="left" vertical="center"/>
      <protection locked="0"/>
    </xf>
    <xf numFmtId="0" fontId="3" fillId="0" borderId="2" xfId="1" applyBorder="1" applyAlignment="1" applyProtection="1">
      <alignment horizontal="left" vertical="center"/>
      <protection locked="0"/>
    </xf>
    <xf numFmtId="0" fontId="3" fillId="0" borderId="6" xfId="1" applyBorder="1" applyAlignment="1" applyProtection="1">
      <alignment horizontal="left" vertical="center"/>
      <protection locked="0"/>
    </xf>
    <xf numFmtId="0" fontId="3" fillId="0" borderId="5" xfId="1" applyBorder="1" applyAlignment="1" applyProtection="1">
      <alignment horizontal="left" vertical="center"/>
      <protection locked="0"/>
    </xf>
    <xf numFmtId="0" fontId="3" fillId="0" borderId="7" xfId="1" applyBorder="1" applyAlignment="1" applyProtection="1">
      <alignment horizontal="left" vertical="center"/>
      <protection locked="0"/>
    </xf>
    <xf numFmtId="0" fontId="9" fillId="0" borderId="9" xfId="1" applyFont="1" applyBorder="1" applyAlignment="1">
      <alignment horizontal="center" vertical="center" wrapText="1"/>
    </xf>
    <xf numFmtId="0" fontId="9" fillId="0" borderId="2" xfId="1" applyFont="1" applyBorder="1" applyAlignment="1">
      <alignment horizontal="center" vertical="center" wrapText="1"/>
    </xf>
    <xf numFmtId="0" fontId="9" fillId="0" borderId="11" xfId="1" applyFont="1" applyBorder="1" applyAlignment="1">
      <alignment horizontal="center" vertical="center" wrapText="1"/>
    </xf>
    <xf numFmtId="0" fontId="9" fillId="0" borderId="8"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2" borderId="18"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19" xfId="1" applyFont="1" applyFill="1" applyBorder="1" applyAlignment="1">
      <alignment horizontal="center" vertical="center"/>
    </xf>
    <xf numFmtId="0" fontId="9" fillId="2" borderId="0" xfId="1" applyFont="1" applyFill="1" applyAlignment="1">
      <alignment horizontal="center" vertical="center"/>
    </xf>
    <xf numFmtId="0" fontId="9" fillId="2" borderId="20" xfId="1" applyFont="1" applyFill="1" applyBorder="1" applyAlignment="1">
      <alignment horizontal="center" vertical="center"/>
    </xf>
    <xf numFmtId="0" fontId="9" fillId="2" borderId="13" xfId="1" applyFont="1" applyFill="1" applyBorder="1" applyAlignment="1">
      <alignment horizontal="center" vertical="center"/>
    </xf>
    <xf numFmtId="0" fontId="3" fillId="9" borderId="3" xfId="1" applyFill="1" applyBorder="1" applyAlignment="1">
      <alignment horizontal="left" vertical="center"/>
    </xf>
    <xf numFmtId="0" fontId="3" fillId="9" borderId="10" xfId="1" applyFill="1" applyBorder="1" applyAlignment="1">
      <alignment horizontal="left" vertical="center"/>
    </xf>
    <xf numFmtId="0" fontId="3" fillId="9" borderId="4" xfId="1" applyFill="1" applyBorder="1" applyAlignment="1">
      <alignment horizontal="left" vertical="center"/>
    </xf>
    <xf numFmtId="0" fontId="3" fillId="0" borderId="9" xfId="1" applyBorder="1" applyAlignment="1" applyProtection="1">
      <alignment horizontal="left" vertical="center"/>
      <protection locked="0"/>
    </xf>
    <xf numFmtId="0" fontId="3" fillId="6" borderId="9" xfId="1" applyFill="1" applyBorder="1" applyAlignment="1">
      <alignment horizontal="left" vertical="center"/>
    </xf>
    <xf numFmtId="0" fontId="3" fillId="6" borderId="1" xfId="1" applyFill="1" applyBorder="1" applyAlignment="1">
      <alignment horizontal="left" vertical="center"/>
    </xf>
    <xf numFmtId="0" fontId="3" fillId="6" borderId="2" xfId="1" applyFill="1" applyBorder="1" applyAlignment="1">
      <alignment horizontal="left" vertical="center"/>
    </xf>
    <xf numFmtId="0" fontId="3" fillId="6" borderId="6" xfId="1" applyFill="1" applyBorder="1" applyAlignment="1">
      <alignment horizontal="left" vertical="center"/>
    </xf>
    <xf numFmtId="0" fontId="3" fillId="6" borderId="5" xfId="1" applyFill="1" applyBorder="1" applyAlignment="1">
      <alignment horizontal="left" vertical="center"/>
    </xf>
    <xf numFmtId="0" fontId="3" fillId="6" borderId="7" xfId="1" applyFill="1" applyBorder="1" applyAlignment="1">
      <alignment horizontal="left" vertical="center"/>
    </xf>
    <xf numFmtId="0" fontId="9" fillId="0" borderId="1" xfId="1" applyFont="1" applyBorder="1" applyAlignment="1">
      <alignment horizontal="center" vertical="center" wrapText="1"/>
    </xf>
    <xf numFmtId="0" fontId="9" fillId="0" borderId="0" xfId="1" applyFont="1" applyAlignment="1">
      <alignment horizontal="center" vertical="center" wrapText="1"/>
    </xf>
    <xf numFmtId="0" fontId="9" fillId="0" borderId="5" xfId="1" applyFont="1" applyBorder="1" applyAlignment="1">
      <alignment horizontal="center" vertical="center" wrapText="1"/>
    </xf>
    <xf numFmtId="49" fontId="11" fillId="0" borderId="10" xfId="1" applyNumberFormat="1" applyFont="1" applyBorder="1" applyAlignment="1" applyProtection="1">
      <alignment horizontal="left" vertical="center" wrapText="1"/>
      <protection locked="0"/>
    </xf>
    <xf numFmtId="49" fontId="11" fillId="0" borderId="4" xfId="1" applyNumberFormat="1" applyFont="1" applyBorder="1" applyAlignment="1" applyProtection="1">
      <alignment horizontal="left" vertical="center" wrapText="1"/>
      <protection locked="0"/>
    </xf>
    <xf numFmtId="0" fontId="9" fillId="9" borderId="3" xfId="1" applyFont="1" applyFill="1" applyBorder="1" applyAlignment="1">
      <alignment horizontal="center" vertical="center"/>
    </xf>
    <xf numFmtId="0" fontId="9" fillId="9" borderId="10" xfId="1" applyFont="1" applyFill="1" applyBorder="1" applyAlignment="1">
      <alignment horizontal="center" vertical="center"/>
    </xf>
    <xf numFmtId="0" fontId="9" fillId="9" borderId="4" xfId="1" applyFont="1" applyFill="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22" xfId="1" applyFont="1" applyBorder="1" applyAlignment="1">
      <alignment horizontal="center" vertical="center" wrapText="1"/>
    </xf>
    <xf numFmtId="0" fontId="9" fillId="2" borderId="50" xfId="1" applyFont="1" applyFill="1" applyBorder="1" applyAlignment="1">
      <alignment horizontal="center" vertical="center" wrapText="1"/>
    </xf>
    <xf numFmtId="0" fontId="9" fillId="2" borderId="51" xfId="1" applyFont="1" applyFill="1" applyBorder="1" applyAlignment="1">
      <alignment horizontal="center" vertical="center" wrapText="1"/>
    </xf>
    <xf numFmtId="0" fontId="12" fillId="0" borderId="51" xfId="1" applyFont="1" applyBorder="1" applyAlignment="1" applyProtection="1">
      <alignment horizontal="center" vertical="center"/>
      <protection locked="0"/>
    </xf>
    <xf numFmtId="0" fontId="2" fillId="0" borderId="51" xfId="1" applyFont="1" applyBorder="1" applyAlignment="1">
      <alignment horizontal="center" vertical="center" wrapText="1"/>
    </xf>
    <xf numFmtId="0" fontId="2" fillId="0" borderId="42" xfId="1" applyFont="1" applyBorder="1" applyAlignment="1">
      <alignment horizontal="center" vertical="center" wrapText="1"/>
    </xf>
    <xf numFmtId="0" fontId="9" fillId="2" borderId="18"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2" fillId="0" borderId="53" xfId="1" applyFont="1" applyBorder="1" applyAlignment="1">
      <alignment horizontal="center" vertical="center" wrapText="1"/>
    </xf>
    <xf numFmtId="0" fontId="2" fillId="0" borderId="46" xfId="1" applyFont="1" applyBorder="1" applyAlignment="1">
      <alignment horizontal="center" vertical="center" wrapText="1"/>
    </xf>
    <xf numFmtId="0" fontId="12" fillId="0" borderId="53" xfId="1" applyFont="1" applyBorder="1" applyAlignment="1" applyProtection="1">
      <alignment horizontal="center" vertical="center"/>
      <protection locked="0"/>
    </xf>
    <xf numFmtId="0" fontId="9" fillId="2" borderId="52" xfId="1" applyFont="1" applyFill="1" applyBorder="1" applyAlignment="1">
      <alignment horizontal="center" vertical="center" wrapText="1"/>
    </xf>
    <xf numFmtId="0" fontId="9" fillId="2" borderId="53" xfId="1" applyFont="1" applyFill="1" applyBorder="1" applyAlignment="1">
      <alignment horizontal="center" vertical="center" wrapText="1"/>
    </xf>
    <xf numFmtId="0" fontId="2" fillId="0" borderId="44" xfId="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9" fontId="13" fillId="0" borderId="22" xfId="1" applyNumberFormat="1" applyFont="1" applyBorder="1" applyAlignment="1" applyProtection="1">
      <alignment horizontal="left" vertical="center"/>
      <protection locked="0"/>
    </xf>
    <xf numFmtId="49" fontId="11" fillId="0" borderId="6" xfId="1" applyNumberFormat="1" applyFont="1" applyBorder="1" applyAlignment="1" applyProtection="1">
      <alignment horizontal="left" vertical="center" wrapText="1"/>
      <protection locked="0"/>
    </xf>
    <xf numFmtId="49" fontId="11" fillId="0" borderId="5" xfId="1" applyNumberFormat="1" applyFont="1" applyBorder="1" applyAlignment="1" applyProtection="1">
      <alignment horizontal="left" vertical="center"/>
      <protection locked="0"/>
    </xf>
    <xf numFmtId="49" fontId="11" fillId="0" borderId="16" xfId="1" applyNumberFormat="1" applyFont="1" applyBorder="1" applyAlignment="1" applyProtection="1">
      <alignment horizontal="left" vertical="center"/>
      <protection locked="0"/>
    </xf>
    <xf numFmtId="49" fontId="13" fillId="0" borderId="6" xfId="1" applyNumberFormat="1" applyFont="1" applyBorder="1" applyAlignment="1" applyProtection="1">
      <alignment horizontal="left" vertical="center" wrapText="1"/>
      <protection locked="0"/>
    </xf>
    <xf numFmtId="49" fontId="13" fillId="0" borderId="5" xfId="1" applyNumberFormat="1" applyFont="1" applyBorder="1" applyAlignment="1" applyProtection="1">
      <alignment horizontal="left" vertical="center"/>
      <protection locked="0"/>
    </xf>
    <xf numFmtId="49" fontId="13" fillId="0" borderId="16" xfId="1" applyNumberFormat="1" applyFont="1" applyBorder="1" applyAlignment="1" applyProtection="1">
      <alignment horizontal="left" vertical="center"/>
      <protection locked="0"/>
    </xf>
    <xf numFmtId="49" fontId="11" fillId="0" borderId="12" xfId="1" applyNumberFormat="1" applyFont="1" applyBorder="1" applyAlignment="1" applyProtection="1">
      <alignment horizontal="left" vertical="center" wrapText="1"/>
      <protection locked="0"/>
    </xf>
    <xf numFmtId="49" fontId="11" fillId="0" borderId="13" xfId="1" applyNumberFormat="1" applyFont="1" applyBorder="1" applyAlignment="1" applyProtection="1">
      <alignment horizontal="left" vertical="center"/>
      <protection locked="0"/>
    </xf>
    <xf numFmtId="49" fontId="11" fillId="0" borderId="17" xfId="1" applyNumberFormat="1" applyFont="1" applyBorder="1" applyAlignment="1" applyProtection="1">
      <alignment horizontal="left" vertical="center"/>
      <protection locked="0"/>
    </xf>
    <xf numFmtId="49" fontId="11" fillId="0" borderId="3" xfId="1" applyNumberFormat="1" applyFont="1" applyBorder="1" applyAlignment="1" applyProtection="1">
      <alignment horizontal="left" vertical="center"/>
      <protection locked="0"/>
    </xf>
    <xf numFmtId="0" fontId="9" fillId="2" borderId="21"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22" fillId="0" borderId="0" xfId="4" applyFont="1" applyAlignment="1">
      <alignment horizontal="left" vertical="center" wrapText="1"/>
    </xf>
    <xf numFmtId="0" fontId="23" fillId="0" borderId="0" xfId="4" applyFont="1" applyAlignment="1">
      <alignment horizontal="left" vertical="center" wrapText="1"/>
    </xf>
    <xf numFmtId="0" fontId="29" fillId="0" borderId="39" xfId="4" applyFont="1" applyBorder="1" applyAlignment="1">
      <alignment horizontal="center" vertical="center" wrapText="1"/>
    </xf>
    <xf numFmtId="0" fontId="29" fillId="0" borderId="40" xfId="4" applyFont="1" applyBorder="1" applyAlignment="1">
      <alignment horizontal="center" vertical="center" wrapText="1"/>
    </xf>
    <xf numFmtId="0" fontId="25" fillId="0" borderId="39" xfId="0" applyFont="1" applyBorder="1" applyAlignment="1">
      <alignment horizontal="center" vertical="center" wrapText="1"/>
    </xf>
    <xf numFmtId="0" fontId="25" fillId="0" borderId="40"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17" xfId="0" applyFont="1" applyBorder="1" applyAlignment="1">
      <alignment horizontal="center" vertical="center" wrapText="1"/>
    </xf>
    <xf numFmtId="0" fontId="21" fillId="0" borderId="47" xfId="4" applyFont="1" applyBorder="1" applyAlignment="1">
      <alignment horizontal="center" vertical="center"/>
    </xf>
    <xf numFmtId="0" fontId="21" fillId="0" borderId="48" xfId="4" applyFont="1" applyBorder="1" applyAlignment="1">
      <alignment horizontal="center" vertical="center"/>
    </xf>
    <xf numFmtId="0" fontId="21" fillId="0" borderId="49" xfId="4" applyFont="1" applyBorder="1" applyAlignment="1">
      <alignment horizontal="center" vertical="center"/>
    </xf>
    <xf numFmtId="0" fontId="13" fillId="0" borderId="3" xfId="1" applyFont="1" applyBorder="1" applyAlignment="1" applyProtection="1">
      <alignment horizontal="left" vertical="center"/>
      <protection locked="0"/>
    </xf>
    <xf numFmtId="0" fontId="13" fillId="0" borderId="10" xfId="1" applyFont="1" applyBorder="1" applyAlignment="1" applyProtection="1">
      <alignment horizontal="left" vertical="center"/>
      <protection locked="0"/>
    </xf>
    <xf numFmtId="0" fontId="13" fillId="0" borderId="22" xfId="1" applyFont="1" applyBorder="1" applyAlignment="1" applyProtection="1">
      <alignment horizontal="left" vertical="center"/>
      <protection locked="0"/>
    </xf>
    <xf numFmtId="0" fontId="11" fillId="0" borderId="6" xfId="1" applyFont="1" applyBorder="1" applyAlignment="1" applyProtection="1">
      <alignment horizontal="left" vertical="center"/>
      <protection locked="0"/>
    </xf>
    <xf numFmtId="0" fontId="11" fillId="0" borderId="5" xfId="1" applyFont="1" applyBorder="1" applyAlignment="1" applyProtection="1">
      <alignment horizontal="left" vertical="center"/>
      <protection locked="0"/>
    </xf>
    <xf numFmtId="0" fontId="11" fillId="0" borderId="16" xfId="1" applyFont="1" applyBorder="1" applyAlignment="1" applyProtection="1">
      <alignment horizontal="left" vertical="center"/>
      <protection locked="0"/>
    </xf>
    <xf numFmtId="0" fontId="13" fillId="0" borderId="6" xfId="1" applyFont="1" applyBorder="1" applyAlignment="1" applyProtection="1">
      <alignment horizontal="left" vertical="center"/>
      <protection locked="0"/>
    </xf>
    <xf numFmtId="0" fontId="13" fillId="0" borderId="5" xfId="1" applyFont="1" applyBorder="1" applyAlignment="1" applyProtection="1">
      <alignment horizontal="left" vertical="center"/>
      <protection locked="0"/>
    </xf>
    <xf numFmtId="0" fontId="13" fillId="0" borderId="16" xfId="1" applyFont="1" applyBorder="1" applyAlignment="1" applyProtection="1">
      <alignment horizontal="left" vertical="center"/>
      <protection locked="0"/>
    </xf>
    <xf numFmtId="0" fontId="11" fillId="0" borderId="12"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17" xfId="1" applyFont="1" applyBorder="1" applyAlignment="1" applyProtection="1">
      <alignment horizontal="left" vertical="center"/>
      <protection locked="0"/>
    </xf>
    <xf numFmtId="0" fontId="11" fillId="0" borderId="3" xfId="1" applyFont="1" applyBorder="1" applyAlignment="1" applyProtection="1">
      <alignment horizontal="left" vertical="center" wrapText="1"/>
      <protection locked="0"/>
    </xf>
    <xf numFmtId="0" fontId="11" fillId="0" borderId="10" xfId="1" applyFont="1" applyBorder="1" applyAlignment="1" applyProtection="1">
      <alignment horizontal="left" vertical="center" wrapText="1"/>
      <protection locked="0"/>
    </xf>
    <xf numFmtId="0" fontId="11" fillId="0" borderId="4" xfId="1" applyFont="1" applyBorder="1" applyAlignment="1" applyProtection="1">
      <alignment horizontal="left" vertical="center" wrapText="1"/>
      <protection locked="0"/>
    </xf>
    <xf numFmtId="49" fontId="11" fillId="0" borderId="3" xfId="1" applyNumberFormat="1" applyFont="1" applyBorder="1" applyAlignment="1" applyProtection="1">
      <alignment horizontal="center" vertical="center"/>
      <protection locked="0"/>
    </xf>
    <xf numFmtId="49" fontId="11" fillId="0" borderId="10" xfId="1" applyNumberFormat="1" applyFont="1" applyBorder="1" applyAlignment="1" applyProtection="1">
      <alignment horizontal="center" vertical="center"/>
      <protection locked="0"/>
    </xf>
    <xf numFmtId="49" fontId="11" fillId="0" borderId="4" xfId="1" applyNumberFormat="1" applyFont="1" applyBorder="1" applyAlignment="1" applyProtection="1">
      <alignment horizontal="center" vertical="center"/>
      <protection locked="0"/>
    </xf>
    <xf numFmtId="178" fontId="34" fillId="0" borderId="10" xfId="0" applyNumberFormat="1" applyFont="1" applyBorder="1" applyAlignment="1" applyProtection="1">
      <alignment horizontal="left" vertical="center"/>
      <protection locked="0"/>
    </xf>
    <xf numFmtId="178" fontId="34" fillId="0" borderId="4" xfId="0" applyNumberFormat="1" applyFont="1" applyBorder="1" applyAlignment="1" applyProtection="1">
      <alignment horizontal="left" vertical="center"/>
      <protection locked="0"/>
    </xf>
    <xf numFmtId="0" fontId="13" fillId="0" borderId="4" xfId="1" applyFont="1" applyBorder="1" applyAlignment="1" applyProtection="1">
      <alignment horizontal="left" vertical="center"/>
      <protection locked="0"/>
    </xf>
    <xf numFmtId="0" fontId="11" fillId="0" borderId="3" xfId="1" applyFont="1" applyBorder="1" applyAlignment="1" applyProtection="1">
      <alignment horizontal="left" vertical="center"/>
      <protection locked="0"/>
    </xf>
    <xf numFmtId="0" fontId="11" fillId="0" borderId="10" xfId="1" applyFont="1" applyBorder="1" applyAlignment="1" applyProtection="1">
      <alignment horizontal="left" vertical="center"/>
      <protection locked="0"/>
    </xf>
    <xf numFmtId="0" fontId="11" fillId="0" borderId="4" xfId="1" applyFont="1" applyBorder="1" applyAlignment="1" applyProtection="1">
      <alignment horizontal="left" vertical="center"/>
      <protection locked="0"/>
    </xf>
  </cellXfs>
  <cellStyles count="6">
    <cellStyle name="ハイパーリンク" xfId="5" builtinId="8"/>
    <cellStyle name="標準" xfId="0" builtinId="0"/>
    <cellStyle name="標準 2" xfId="2" xr:uid="{7A6B0CA6-F94B-4538-BCC9-D245202C716F}"/>
    <cellStyle name="標準 3" xfId="3" xr:uid="{00DDE452-A2FD-4247-B3B6-E760CE0D9996}"/>
    <cellStyle name="標準 4" xfId="4" xr:uid="{AEA2616D-0D7E-4532-8A6D-C8AF745DEFFA}"/>
    <cellStyle name="標準_改善申込書（ＢＳ新規）" xfId="1" xr:uid="{00000000-0005-0000-0000-000001000000}"/>
  </cellStyles>
  <dxfs count="56">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rgb="FFFFC000"/>
        </patternFill>
      </fill>
    </dxf>
    <dxf>
      <fill>
        <patternFill>
          <bgColor rgb="FFFFC000"/>
        </patternFill>
      </fill>
    </dxf>
    <dxf>
      <numFmt numFmtId="0" formatCode="General"/>
    </dxf>
    <dxf>
      <numFmt numFmtId="176" formatCode="0.00_ "/>
    </dxf>
    <dxf>
      <numFmt numFmtId="176" formatCode="0.00_ "/>
    </dxf>
    <dxf>
      <numFmt numFmtId="176" formatCode="0.00_ "/>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numFmt numFmtId="19" formatCode="yyyy/m/d"/>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border outline="0">
        <top style="thin">
          <color theme="4" tint="0.39997558519241921"/>
        </top>
      </border>
    </dxf>
    <dxf>
      <border outline="0">
        <top style="thin">
          <color theme="4" tint="0.39997558519241921"/>
        </top>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dxf>
    <dxf>
      <border outline="0">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dxf>
  </dxfs>
  <tableStyles count="0" defaultTableStyle="TableStyleMedium2" defaultPivotStyle="PivotStyleLight16"/>
  <colors>
    <mruColors>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support.ntt.com/business/faq/detail/pid2300001v74" TargetMode="External"/><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https://support.ntt.com/business/faq/detail/pid2300001ugl"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38099</xdr:colOff>
      <xdr:row>29</xdr:row>
      <xdr:rowOff>116416</xdr:rowOff>
    </xdr:from>
    <xdr:to>
      <xdr:col>33</xdr:col>
      <xdr:colOff>254000</xdr:colOff>
      <xdr:row>34</xdr:row>
      <xdr:rowOff>55880</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38099" y="9503833"/>
          <a:ext cx="9423401" cy="135763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en-US" altLang="ja-JP" sz="1050" b="0" i="0" baseline="0">
            <a:solidFill>
              <a:sysClr val="windowText" lastClr="000000"/>
            </a:solidFill>
            <a:effectLst/>
            <a:latin typeface="+mn-ea"/>
            <a:ea typeface="+mn-ea"/>
            <a:cs typeface="+mn-cs"/>
          </a:endParaRPr>
        </a:p>
        <a:p>
          <a:pPr algn="l" rtl="0">
            <a:lnSpc>
              <a:spcPts val="1100"/>
            </a:lnSpc>
            <a:defRPr sz="1000"/>
          </a:pP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effectLst/>
              <a:latin typeface="+mn-ea"/>
              <a:ea typeface="+mn-ea"/>
              <a:cs typeface="+mn-cs"/>
            </a:rPr>
            <a:t>（注１）回線契約名義変更はこの用紙ではできません。弊社営業担当または</a:t>
          </a:r>
          <a:r>
            <a:rPr lang="en-US" altLang="ja-JP" sz="1050" b="0" i="0" u="none" strike="noStrike" baseline="0">
              <a:solidFill>
                <a:sysClr val="windowText" lastClr="000000"/>
              </a:solidFill>
              <a:effectLst/>
              <a:latin typeface="+mn-ea"/>
              <a:ea typeface="+mn-ea"/>
              <a:cs typeface="+mn-cs"/>
            </a:rPr>
            <a:t>0120-003300</a:t>
          </a:r>
          <a:r>
            <a:rPr lang="ja-JP" altLang="en-US" sz="1050" b="0" i="0" u="none" strike="noStrike" baseline="0">
              <a:solidFill>
                <a:sysClr val="windowText" lastClr="000000"/>
              </a:solidFill>
              <a:effectLst/>
              <a:latin typeface="+mn-ea"/>
              <a:ea typeface="+mn-ea"/>
              <a:cs typeface="+mn-cs"/>
            </a:rPr>
            <a:t>へお知らせください。</a:t>
          </a: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latin typeface="+mn-ea"/>
              <a:ea typeface="+mn-ea"/>
            </a:rPr>
            <a:t>名義他変更を弊社にて確認後、受付とします。本申込書が到着して３ヶ月を経過しても確認できない場合、返却することがあります。</a:t>
          </a:r>
        </a:p>
      </xdr:txBody>
    </xdr:sp>
    <xdr:clientData/>
  </xdr:twoCellAnchor>
  <xdr:twoCellAnchor editAs="oneCell">
    <xdr:from>
      <xdr:col>39</xdr:col>
      <xdr:colOff>114300</xdr:colOff>
      <xdr:row>0</xdr:row>
      <xdr:rowOff>76200</xdr:rowOff>
    </xdr:from>
    <xdr:to>
      <xdr:col>39</xdr:col>
      <xdr:colOff>211455</xdr:colOff>
      <xdr:row>2</xdr:row>
      <xdr:rowOff>15240</xdr:rowOff>
    </xdr:to>
    <xdr:sp macro="" textlink="">
      <xdr:nvSpPr>
        <xdr:cNvPr id="6710" name="Text Box 5">
          <a:extLst>
            <a:ext uri="{FF2B5EF4-FFF2-40B4-BE49-F238E27FC236}">
              <a16:creationId xmlns:a16="http://schemas.microsoft.com/office/drawing/2014/main" id="{00000000-0008-0000-0000-0000361A0000}"/>
            </a:ext>
          </a:extLst>
        </xdr:cNvPr>
        <xdr:cNvSpPr txBox="1">
          <a:spLocks noChangeArrowheads="1"/>
        </xdr:cNvSpPr>
      </xdr:nvSpPr>
      <xdr:spPr bwMode="auto">
        <a:xfrm>
          <a:off x="12258675" y="76200"/>
          <a:ext cx="10477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148168</xdr:colOff>
      <xdr:row>0</xdr:row>
      <xdr:rowOff>64770</xdr:rowOff>
    </xdr:from>
    <xdr:to>
      <xdr:col>28</xdr:col>
      <xdr:colOff>247470</xdr:colOff>
      <xdr:row>3</xdr:row>
      <xdr:rowOff>15240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2815168" y="64770"/>
          <a:ext cx="4693912" cy="462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追加・変更お申込書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45049</xdr:colOff>
      <xdr:row>0</xdr:row>
      <xdr:rowOff>31711</xdr:rowOff>
    </xdr:from>
    <xdr:to>
      <xdr:col>7</xdr:col>
      <xdr:colOff>148167</xdr:colOff>
      <xdr:row>2</xdr:row>
      <xdr:rowOff>93456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5049" y="31711"/>
          <a:ext cx="2526701" cy="4004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0</xdr:col>
      <xdr:colOff>190500</xdr:colOff>
      <xdr:row>27</xdr:row>
      <xdr:rowOff>3996</xdr:rowOff>
    </xdr:from>
    <xdr:to>
      <xdr:col>36</xdr:col>
      <xdr:colOff>44238</xdr:colOff>
      <xdr:row>29</xdr:row>
      <xdr:rowOff>12489</xdr:rowOff>
    </xdr:to>
    <xdr:sp macro="" textlink="">
      <xdr:nvSpPr>
        <xdr:cNvPr id="10" name="AutoShape 2">
          <a:extLst>
            <a:ext uri="{FF2B5EF4-FFF2-40B4-BE49-F238E27FC236}">
              <a16:creationId xmlns:a16="http://schemas.microsoft.com/office/drawing/2014/main" id="{9DD3F88D-444E-43A8-A008-D5CF216D6384}"/>
            </a:ext>
          </a:extLst>
        </xdr:cNvPr>
        <xdr:cNvSpPr>
          <a:spLocks noChangeArrowheads="1"/>
        </xdr:cNvSpPr>
      </xdr:nvSpPr>
      <xdr:spPr bwMode="auto">
        <a:xfrm>
          <a:off x="190500" y="8901467"/>
          <a:ext cx="10297620" cy="523963"/>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72000" anchor="ctr" anchorCtr="0" upright="1"/>
        <a:lstStyle/>
        <a:p>
          <a:pPr algn="l" rtl="0">
            <a:lnSpc>
              <a:spcPts val="1100"/>
            </a:lnSpc>
            <a:defRPr sz="1000"/>
          </a:pPr>
          <a:r>
            <a:rPr lang="ja-JP" altLang="en-US" sz="2000" b="0" i="0" u="none" strike="noStrike" kern="0" baseline="0">
              <a:solidFill>
                <a:sysClr val="windowText" lastClr="000000"/>
              </a:solidFill>
              <a:effectLst/>
              <a:latin typeface="+mn-ea"/>
              <a:ea typeface="+mn-ea"/>
              <a:cs typeface="+mn-cs"/>
            </a:rPr>
            <a:t>次に「変更別紙」シートの「対象ご請求番号」に追加</a:t>
          </a:r>
          <a:r>
            <a:rPr lang="en-US" altLang="ja-JP" sz="2000" b="0" i="0" u="none" strike="noStrike" kern="0" baseline="0">
              <a:solidFill>
                <a:sysClr val="windowText" lastClr="000000"/>
              </a:solidFill>
              <a:effectLst/>
              <a:latin typeface="+mn-ea"/>
              <a:ea typeface="+mn-ea"/>
              <a:cs typeface="+mn-cs"/>
            </a:rPr>
            <a:t>/</a:t>
          </a:r>
          <a:r>
            <a:rPr lang="ja-JP" altLang="en-US" sz="2000" b="0" i="0" u="none" strike="noStrike" kern="0" baseline="0">
              <a:solidFill>
                <a:sysClr val="windowText" lastClr="000000"/>
              </a:solidFill>
              <a:effectLst/>
              <a:latin typeface="+mn-ea"/>
              <a:ea typeface="+mn-ea"/>
              <a:cs typeface="+mn-cs"/>
            </a:rPr>
            <a:t>変更</a:t>
          </a:r>
          <a:r>
            <a:rPr lang="en-US" altLang="ja-JP" sz="2000" b="0" i="0" u="none" strike="noStrike" kern="0" baseline="0">
              <a:solidFill>
                <a:sysClr val="windowText" lastClr="000000"/>
              </a:solidFill>
              <a:effectLst/>
              <a:latin typeface="+mn-ea"/>
              <a:ea typeface="+mn-ea"/>
              <a:cs typeface="+mn-cs"/>
            </a:rPr>
            <a:t>/</a:t>
          </a:r>
          <a:r>
            <a:rPr lang="ja-JP" altLang="en-US" sz="2000" b="0" i="0" u="none" strike="noStrike" kern="0" baseline="0">
              <a:solidFill>
                <a:sysClr val="windowText" lastClr="000000"/>
              </a:solidFill>
              <a:effectLst/>
              <a:latin typeface="+mn-ea"/>
              <a:ea typeface="+mn-ea"/>
              <a:cs typeface="+mn-cs"/>
            </a:rPr>
            <a:t>削除するご請求番号を記入ください。</a:t>
          </a: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ファイル形式はエクセルから</a:t>
          </a:r>
          <a:r>
            <a:rPr kumimoji="0" lang="ja-JP" altLang="en-US" sz="2000" b="1" i="0" u="none" strike="noStrike" kern="0" cap="none" spc="0" normalizeH="0" baseline="0" noProof="0">
              <a:ln>
                <a:noFill/>
              </a:ln>
              <a:solidFill>
                <a:srgbClr val="FF0000"/>
              </a:solidFill>
              <a:effectLst/>
              <a:uLnTx/>
              <a:uFillTx/>
              <a:latin typeface="ＭＳ Ｐゴシック" panose="020B0600070205080204" pitchFamily="50" charset="-128"/>
              <a:ea typeface="+mn-ea"/>
              <a:cs typeface="+mn-cs"/>
            </a:rPr>
            <a:t>変えないで</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アップロードしてください。</a:t>
          </a:r>
          <a:endPar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endPar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endParaRPr lang="en-US" altLang="ja-JP" sz="2000" b="0" i="0" u="none" strike="noStrike" kern="0"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2000" b="0" i="0" u="none" strike="noStrike" kern="0" baseline="0">
              <a:solidFill>
                <a:sysClr val="windowText" lastClr="000000"/>
              </a:solidFill>
              <a:latin typeface="+mn-ea"/>
              <a:ea typeface="+mn-ea"/>
            </a:rPr>
            <a:t>　</a:t>
          </a:r>
          <a:r>
            <a:rPr lang="ja-JP" altLang="en-US" sz="1600" b="0" i="0" u="none" strike="noStrike" kern="0" baseline="0">
              <a:solidFill>
                <a:sysClr val="windowText" lastClr="000000"/>
              </a:solidFill>
              <a:latin typeface="+mn-ea"/>
              <a:ea typeface="+mn-ea"/>
            </a:rPr>
            <a:t>　（拡張子を</a:t>
          </a:r>
          <a:r>
            <a:rPr lang="en-US" altLang="ja-JP" sz="1600" b="0" i="0" u="none" strike="noStrike" kern="0" baseline="0">
              <a:solidFill>
                <a:sysClr val="windowText" lastClr="000000"/>
              </a:solidFill>
              <a:latin typeface="+mn-ea"/>
              <a:ea typeface="+mn-ea"/>
            </a:rPr>
            <a:t>.xls</a:t>
          </a:r>
          <a:r>
            <a:rPr lang="ja-JP" altLang="en-US" sz="1600" b="0" i="0" u="none" strike="noStrike" kern="0" baseline="0">
              <a:solidFill>
                <a:sysClr val="windowText" lastClr="000000"/>
              </a:solidFill>
              <a:latin typeface="+mn-ea"/>
              <a:ea typeface="+mn-ea"/>
            </a:rPr>
            <a:t>等に変更しないでください。また</a:t>
          </a:r>
          <a:r>
            <a:rPr lang="en-US" altLang="ja-JP" sz="1600" b="0" i="0" u="none" strike="noStrike" kern="0" baseline="0">
              <a:solidFill>
                <a:sysClr val="windowText" lastClr="000000"/>
              </a:solidFill>
              <a:latin typeface="+mn-ea"/>
              <a:ea typeface="+mn-ea"/>
            </a:rPr>
            <a:t>PDF</a:t>
          </a:r>
          <a:r>
            <a:rPr lang="ja-JP" altLang="en-US" sz="1600" b="0" i="0" u="none" strike="noStrike" kern="0" baseline="0">
              <a:solidFill>
                <a:sysClr val="windowText" lastClr="000000"/>
              </a:solidFill>
              <a:latin typeface="+mn-ea"/>
              <a:ea typeface="+mn-ea"/>
            </a:rPr>
            <a:t>形式等に変えないでください。）</a:t>
          </a:r>
          <a:endParaRPr lang="ja-JP" altLang="en-US" sz="2000" b="0" i="0" u="none" strike="noStrike" kern="0" baseline="0">
            <a:solidFill>
              <a:sysClr val="windowText" lastClr="000000"/>
            </a:solidFill>
            <a:latin typeface="+mn-ea"/>
            <a:ea typeface="+mn-ea"/>
          </a:endParaRPr>
        </a:p>
      </xdr:txBody>
    </xdr:sp>
    <xdr:clientData/>
  </xdr:twoCellAnchor>
  <xdr:oneCellAnchor>
    <xdr:from>
      <xdr:col>2</xdr:col>
      <xdr:colOff>166687</xdr:colOff>
      <xdr:row>8</xdr:row>
      <xdr:rowOff>0</xdr:rowOff>
    </xdr:from>
    <xdr:ext cx="1811265" cy="275717"/>
    <xdr:sp macro="" textlink="">
      <xdr:nvSpPr>
        <xdr:cNvPr id="3" name="テキスト ボックス 2">
          <a:extLst>
            <a:ext uri="{FF2B5EF4-FFF2-40B4-BE49-F238E27FC236}">
              <a16:creationId xmlns:a16="http://schemas.microsoft.com/office/drawing/2014/main" id="{E173590F-82C4-9DE9-E05F-DB9C97790F52}"/>
            </a:ext>
          </a:extLst>
        </xdr:cNvPr>
        <xdr:cNvSpPr txBox="1"/>
      </xdr:nvSpPr>
      <xdr:spPr>
        <a:xfrm>
          <a:off x="1095375" y="1797844"/>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oneCellAnchor>
    <xdr:from>
      <xdr:col>6</xdr:col>
      <xdr:colOff>295275</xdr:colOff>
      <xdr:row>22</xdr:row>
      <xdr:rowOff>164307</xdr:rowOff>
    </xdr:from>
    <xdr:ext cx="1811265" cy="275717"/>
    <xdr:sp macro="" textlink="">
      <xdr:nvSpPr>
        <xdr:cNvPr id="5" name="テキスト ボックス 4">
          <a:extLst>
            <a:ext uri="{FF2B5EF4-FFF2-40B4-BE49-F238E27FC236}">
              <a16:creationId xmlns:a16="http://schemas.microsoft.com/office/drawing/2014/main" id="{1306883C-0B0B-4C23-9CDF-F43F44CF3336}"/>
            </a:ext>
          </a:extLst>
        </xdr:cNvPr>
        <xdr:cNvSpPr txBox="1"/>
      </xdr:nvSpPr>
      <xdr:spPr>
        <a:xfrm>
          <a:off x="2867025" y="7677151"/>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twoCellAnchor>
    <xdr:from>
      <xdr:col>10</xdr:col>
      <xdr:colOff>107156</xdr:colOff>
      <xdr:row>5</xdr:row>
      <xdr:rowOff>47625</xdr:rowOff>
    </xdr:from>
    <xdr:to>
      <xdr:col>23</xdr:col>
      <xdr:colOff>23812</xdr:colOff>
      <xdr:row>5</xdr:row>
      <xdr:rowOff>202406</xdr:rowOff>
    </xdr:to>
    <xdr:sp macro="" textlink="">
      <xdr:nvSpPr>
        <xdr:cNvPr id="4" name="正方形/長方形 3">
          <a:hlinkClick xmlns:r="http://schemas.openxmlformats.org/officeDocument/2006/relationships" r:id="rId1"/>
          <a:extLst>
            <a:ext uri="{FF2B5EF4-FFF2-40B4-BE49-F238E27FC236}">
              <a16:creationId xmlns:a16="http://schemas.microsoft.com/office/drawing/2014/main" id="{9AA73F5B-76A5-A050-84D6-05DFD56C5FDC}"/>
            </a:ext>
          </a:extLst>
        </xdr:cNvPr>
        <xdr:cNvSpPr/>
      </xdr:nvSpPr>
      <xdr:spPr>
        <a:xfrm>
          <a:off x="4107656" y="964406"/>
          <a:ext cx="3155156" cy="15478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29</xdr:col>
      <xdr:colOff>11905</xdr:colOff>
      <xdr:row>0</xdr:row>
      <xdr:rowOff>107154</xdr:rowOff>
    </xdr:from>
    <xdr:to>
      <xdr:col>35</xdr:col>
      <xdr:colOff>595013</xdr:colOff>
      <xdr:row>3</xdr:row>
      <xdr:rowOff>166684</xdr:rowOff>
    </xdr:to>
    <xdr:pic>
      <xdr:nvPicPr>
        <xdr:cNvPr id="6" name="図 5">
          <a:extLst>
            <a:ext uri="{FF2B5EF4-FFF2-40B4-BE49-F238E27FC236}">
              <a16:creationId xmlns:a16="http://schemas.microsoft.com/office/drawing/2014/main" id="{2B9EC289-FCD3-4B32-989F-E543A6574221}"/>
            </a:ext>
          </a:extLst>
        </xdr:cNvPr>
        <xdr:cNvPicPr>
          <a:picLocks noChangeAspect="1"/>
        </xdr:cNvPicPr>
      </xdr:nvPicPr>
      <xdr:blipFill>
        <a:blip xmlns:r="http://schemas.openxmlformats.org/officeDocument/2006/relationships" r:embed="rId2"/>
        <a:stretch>
          <a:fillRect/>
        </a:stretch>
      </xdr:blipFill>
      <xdr:spPr>
        <a:xfrm>
          <a:off x="8905874" y="107154"/>
          <a:ext cx="3547764" cy="5595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222747</xdr:colOff>
      <xdr:row>5</xdr:row>
      <xdr:rowOff>364586</xdr:rowOff>
    </xdr:from>
    <xdr:to>
      <xdr:col>17</xdr:col>
      <xdr:colOff>452437</xdr:colOff>
      <xdr:row>8</xdr:row>
      <xdr:rowOff>392907</xdr:rowOff>
    </xdr:to>
    <xdr:sp macro="" textlink="">
      <xdr:nvSpPr>
        <xdr:cNvPr id="2" name="テキスト ボックス 1">
          <a:extLst>
            <a:ext uri="{FF2B5EF4-FFF2-40B4-BE49-F238E27FC236}">
              <a16:creationId xmlns:a16="http://schemas.microsoft.com/office/drawing/2014/main" id="{503FB3C8-0B40-493B-8151-68DC0B18669D}"/>
            </a:ext>
          </a:extLst>
        </xdr:cNvPr>
        <xdr:cNvSpPr txBox="1"/>
      </xdr:nvSpPr>
      <xdr:spPr>
        <a:xfrm>
          <a:off x="6771185" y="2674399"/>
          <a:ext cx="3230065" cy="27667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&lt;</a:t>
          </a:r>
          <a:r>
            <a:rPr kumimoji="1" lang="ja-JP" altLang="en-US" sz="1100"/>
            <a:t>ご確認事項</a:t>
          </a:r>
          <a:r>
            <a:rPr kumimoji="1" lang="en-US" altLang="ja-JP" sz="1100"/>
            <a:t>&gt;</a:t>
          </a:r>
        </a:p>
        <a:p>
          <a:endParaRPr kumimoji="1" lang="en-US" altLang="ja-JP" sz="1100"/>
        </a:p>
        <a:p>
          <a:r>
            <a:rPr kumimoji="1" lang="ja-JP" altLang="en-US" sz="1100"/>
            <a:t>ご請求番号　またはご契約番号のどちらかを必ずご記載ください</a:t>
          </a:r>
          <a:endParaRPr kumimoji="1" lang="en-US" altLang="ja-JP" sz="1100"/>
        </a:p>
        <a:p>
          <a:r>
            <a:rPr kumimoji="1" lang="en-US" altLang="ja-JP" sz="1100"/>
            <a:t>※</a:t>
          </a:r>
          <a:r>
            <a:rPr kumimoji="1" lang="ja-JP" altLang="en-US" sz="1100"/>
            <a:t>　</a:t>
          </a:r>
          <a:r>
            <a:rPr kumimoji="1" lang="en-US" altLang="ja-JP" sz="1100"/>
            <a:t>NTT</a:t>
          </a:r>
          <a:r>
            <a:rPr kumimoji="1" lang="ja-JP" altLang="en-US" sz="1100"/>
            <a:t>ファイナンス請求の場合、延滞利息等の補正金額がビリングステーションに反映されない事がございます。ご了承の上、お申し込みください。</a:t>
          </a:r>
          <a:endParaRPr kumimoji="1" lang="en-US" altLang="ja-JP" sz="1100"/>
        </a:p>
        <a:p>
          <a:r>
            <a:rPr kumimoji="1" lang="en-US" altLang="ja-JP" sz="1100"/>
            <a:t>※</a:t>
          </a:r>
          <a:r>
            <a:rPr kumimoji="1" lang="ja-JP" altLang="en-US" sz="1100"/>
            <a:t>　申込区分については、追加、削除のいずれかをプルダウンで選択してください。削除にチェックを入れた場合、番号別内訳書は紙送付で請求書と同封になります。</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202406</xdr:colOff>
      <xdr:row>7</xdr:row>
      <xdr:rowOff>154781</xdr:rowOff>
    </xdr:from>
    <xdr:ext cx="1811265" cy="275717"/>
    <xdr:sp macro="" textlink="">
      <xdr:nvSpPr>
        <xdr:cNvPr id="17" name="テキスト ボックス 16">
          <a:extLst>
            <a:ext uri="{FF2B5EF4-FFF2-40B4-BE49-F238E27FC236}">
              <a16:creationId xmlns:a16="http://schemas.microsoft.com/office/drawing/2014/main" id="{9314F802-64C2-44D2-894F-227B871499D1}"/>
            </a:ext>
          </a:extLst>
        </xdr:cNvPr>
        <xdr:cNvSpPr txBox="1"/>
      </xdr:nvSpPr>
      <xdr:spPr>
        <a:xfrm>
          <a:off x="1131094" y="1785937"/>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oneCellAnchor>
    <xdr:from>
      <xdr:col>6</xdr:col>
      <xdr:colOff>330994</xdr:colOff>
      <xdr:row>22</xdr:row>
      <xdr:rowOff>152400</xdr:rowOff>
    </xdr:from>
    <xdr:ext cx="1811265" cy="275717"/>
    <xdr:sp macro="" textlink="">
      <xdr:nvSpPr>
        <xdr:cNvPr id="18" name="テキスト ボックス 17">
          <a:extLst>
            <a:ext uri="{FF2B5EF4-FFF2-40B4-BE49-F238E27FC236}">
              <a16:creationId xmlns:a16="http://schemas.microsoft.com/office/drawing/2014/main" id="{14C81E05-0BE8-4DEF-949E-38B0BFAA54A3}"/>
            </a:ext>
          </a:extLst>
        </xdr:cNvPr>
        <xdr:cNvSpPr txBox="1"/>
      </xdr:nvSpPr>
      <xdr:spPr>
        <a:xfrm>
          <a:off x="2902744" y="7665244"/>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マークは入力必須です</a:t>
          </a:r>
          <a:r>
            <a:rPr kumimoji="1" lang="ja-JP" altLang="en-US" sz="1100" b="0" i="0" baseline="0">
              <a:solidFill>
                <a:schemeClr val="tx1"/>
              </a:solidFill>
              <a:effectLst/>
              <a:latin typeface="+mn-lt"/>
              <a:ea typeface="+mn-ea"/>
              <a:cs typeface="+mn-cs"/>
            </a:rPr>
            <a:t>）</a:t>
          </a:r>
          <a:endParaRPr lang="ja-JP" altLang="ja-JP">
            <a:effectLst/>
          </a:endParaRPr>
        </a:p>
      </xdr:txBody>
    </xdr:sp>
    <xdr:clientData/>
  </xdr:oneCellAnchor>
  <xdr:twoCellAnchor>
    <xdr:from>
      <xdr:col>0</xdr:col>
      <xdr:colOff>38099</xdr:colOff>
      <xdr:row>29</xdr:row>
      <xdr:rowOff>116416</xdr:rowOff>
    </xdr:from>
    <xdr:to>
      <xdr:col>33</xdr:col>
      <xdr:colOff>254000</xdr:colOff>
      <xdr:row>34</xdr:row>
      <xdr:rowOff>55880</xdr:rowOff>
    </xdr:to>
    <xdr:sp macro="" textlink="">
      <xdr:nvSpPr>
        <xdr:cNvPr id="2" name="AutoShape 2">
          <a:extLst>
            <a:ext uri="{FF2B5EF4-FFF2-40B4-BE49-F238E27FC236}">
              <a16:creationId xmlns:a16="http://schemas.microsoft.com/office/drawing/2014/main" id="{5EF36167-4075-4639-97F8-2BC612F0F18C}"/>
            </a:ext>
          </a:extLst>
        </xdr:cNvPr>
        <xdr:cNvSpPr>
          <a:spLocks noChangeArrowheads="1"/>
        </xdr:cNvSpPr>
      </xdr:nvSpPr>
      <xdr:spPr bwMode="auto">
        <a:xfrm>
          <a:off x="38099" y="10279591"/>
          <a:ext cx="9298941" cy="137202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en-US" altLang="ja-JP" sz="1050" b="0" i="0" baseline="0">
            <a:solidFill>
              <a:sysClr val="windowText" lastClr="000000"/>
            </a:solidFill>
            <a:effectLst/>
            <a:latin typeface="+mn-ea"/>
            <a:ea typeface="+mn-ea"/>
            <a:cs typeface="+mn-cs"/>
          </a:endParaRPr>
        </a:p>
        <a:p>
          <a:pPr algn="l" rtl="0">
            <a:lnSpc>
              <a:spcPts val="1100"/>
            </a:lnSpc>
            <a:defRPr sz="1000"/>
          </a:pP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effectLst/>
              <a:latin typeface="+mn-ea"/>
              <a:ea typeface="+mn-ea"/>
              <a:cs typeface="+mn-cs"/>
            </a:rPr>
            <a:t>（注１）回線契約名義変更はこの用紙ではできません。</a:t>
          </a: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effectLst/>
              <a:latin typeface="+mn-ea"/>
              <a:ea typeface="+mn-ea"/>
              <a:cs typeface="+mn-cs"/>
            </a:rPr>
            <a:t>弊社営業担当または</a:t>
          </a:r>
          <a:r>
            <a:rPr lang="en-US" altLang="ja-JP" sz="1050" b="0" i="0" u="none" strike="noStrike" baseline="0">
              <a:solidFill>
                <a:sysClr val="windowText" lastClr="000000"/>
              </a:solidFill>
              <a:effectLst/>
              <a:latin typeface="+mn-ea"/>
              <a:ea typeface="+mn-ea"/>
              <a:cs typeface="+mn-cs"/>
            </a:rPr>
            <a:t>0120-003300</a:t>
          </a:r>
          <a:r>
            <a:rPr lang="ja-JP" altLang="en-US" sz="1050" b="0" i="0" u="none" strike="noStrike" baseline="0">
              <a:solidFill>
                <a:sysClr val="windowText" lastClr="000000"/>
              </a:solidFill>
              <a:effectLst/>
              <a:latin typeface="+mn-ea"/>
              <a:ea typeface="+mn-ea"/>
              <a:cs typeface="+mn-cs"/>
            </a:rPr>
            <a:t>へお知らせください。</a:t>
          </a: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latin typeface="+mn-ea"/>
              <a:ea typeface="+mn-ea"/>
            </a:rPr>
            <a:t>名義他変更を弊社にて確認後、受付とします。本申込書が到着して３ヶ月を経過しても確認できない場合、返却することがあります。</a:t>
          </a:r>
        </a:p>
      </xdr:txBody>
    </xdr:sp>
    <xdr:clientData/>
  </xdr:twoCellAnchor>
  <xdr:twoCellAnchor editAs="oneCell">
    <xdr:from>
      <xdr:col>39</xdr:col>
      <xdr:colOff>114300</xdr:colOff>
      <xdr:row>0</xdr:row>
      <xdr:rowOff>76200</xdr:rowOff>
    </xdr:from>
    <xdr:to>
      <xdr:col>39</xdr:col>
      <xdr:colOff>211455</xdr:colOff>
      <xdr:row>2</xdr:row>
      <xdr:rowOff>15240</xdr:rowOff>
    </xdr:to>
    <xdr:sp macro="" textlink="">
      <xdr:nvSpPr>
        <xdr:cNvPr id="3" name="Text Box 5">
          <a:extLst>
            <a:ext uri="{FF2B5EF4-FFF2-40B4-BE49-F238E27FC236}">
              <a16:creationId xmlns:a16="http://schemas.microsoft.com/office/drawing/2014/main" id="{DB3ECDA8-383A-4E7D-A643-0D5031F37507}"/>
            </a:ext>
          </a:extLst>
        </xdr:cNvPr>
        <xdr:cNvSpPr txBox="1">
          <a:spLocks noChangeArrowheads="1"/>
        </xdr:cNvSpPr>
      </xdr:nvSpPr>
      <xdr:spPr bwMode="auto">
        <a:xfrm>
          <a:off x="11353800" y="76200"/>
          <a:ext cx="97155" cy="2819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148168</xdr:colOff>
      <xdr:row>0</xdr:row>
      <xdr:rowOff>64770</xdr:rowOff>
    </xdr:from>
    <xdr:to>
      <xdr:col>28</xdr:col>
      <xdr:colOff>211275</xdr:colOff>
      <xdr:row>3</xdr:row>
      <xdr:rowOff>24765</xdr:rowOff>
    </xdr:to>
    <xdr:sp macro="" textlink="">
      <xdr:nvSpPr>
        <xdr:cNvPr id="4" name="Text Box 10">
          <a:extLst>
            <a:ext uri="{FF2B5EF4-FFF2-40B4-BE49-F238E27FC236}">
              <a16:creationId xmlns:a16="http://schemas.microsoft.com/office/drawing/2014/main" id="{6120BEF2-894D-4429-AC35-70FEF03174B2}"/>
            </a:ext>
          </a:extLst>
        </xdr:cNvPr>
        <xdr:cNvSpPr txBox="1">
          <a:spLocks noChangeArrowheads="1"/>
        </xdr:cNvSpPr>
      </xdr:nvSpPr>
      <xdr:spPr bwMode="auto">
        <a:xfrm>
          <a:off x="2775163" y="62865"/>
          <a:ext cx="4638917"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追加・変更お申込書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45049</xdr:colOff>
      <xdr:row>0</xdr:row>
      <xdr:rowOff>31711</xdr:rowOff>
    </xdr:from>
    <xdr:to>
      <xdr:col>7</xdr:col>
      <xdr:colOff>148167</xdr:colOff>
      <xdr:row>2</xdr:row>
      <xdr:rowOff>93456</xdr:rowOff>
    </xdr:to>
    <xdr:sp macro="" textlink="">
      <xdr:nvSpPr>
        <xdr:cNvPr id="5" name="テキスト ボックス 4">
          <a:extLst>
            <a:ext uri="{FF2B5EF4-FFF2-40B4-BE49-F238E27FC236}">
              <a16:creationId xmlns:a16="http://schemas.microsoft.com/office/drawing/2014/main" id="{8241AF03-F7C1-4450-A4BC-40C954D03314}"/>
            </a:ext>
          </a:extLst>
        </xdr:cNvPr>
        <xdr:cNvSpPr txBox="1"/>
      </xdr:nvSpPr>
      <xdr:spPr>
        <a:xfrm>
          <a:off x="46954" y="29806"/>
          <a:ext cx="2490083" cy="410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0</xdr:col>
      <xdr:colOff>190500</xdr:colOff>
      <xdr:row>27</xdr:row>
      <xdr:rowOff>3996</xdr:rowOff>
    </xdr:from>
    <xdr:to>
      <xdr:col>36</xdr:col>
      <xdr:colOff>44238</xdr:colOff>
      <xdr:row>29</xdr:row>
      <xdr:rowOff>12489</xdr:rowOff>
    </xdr:to>
    <xdr:sp macro="" textlink="">
      <xdr:nvSpPr>
        <xdr:cNvPr id="7" name="AutoShape 2">
          <a:extLst>
            <a:ext uri="{FF2B5EF4-FFF2-40B4-BE49-F238E27FC236}">
              <a16:creationId xmlns:a16="http://schemas.microsoft.com/office/drawing/2014/main" id="{EBECA4E4-8121-445F-BEB8-B3D5F40EC98A}"/>
            </a:ext>
          </a:extLst>
        </xdr:cNvPr>
        <xdr:cNvSpPr>
          <a:spLocks noChangeArrowheads="1"/>
        </xdr:cNvSpPr>
      </xdr:nvSpPr>
      <xdr:spPr bwMode="auto">
        <a:xfrm>
          <a:off x="190500" y="8930826"/>
          <a:ext cx="10352193" cy="1248648"/>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72000" anchor="ctr" anchorCtr="0" upright="1"/>
        <a:lstStyle/>
        <a:p>
          <a:pPr algn="l" rtl="0">
            <a:lnSpc>
              <a:spcPts val="1100"/>
            </a:lnSpc>
            <a:defRPr sz="1000"/>
          </a:pPr>
          <a:r>
            <a:rPr lang="ja-JP" altLang="en-US" sz="2000" b="0" i="0" u="none" strike="noStrike" kern="0" baseline="0">
              <a:solidFill>
                <a:sysClr val="windowText" lastClr="000000"/>
              </a:solidFill>
              <a:effectLst/>
              <a:latin typeface="+mn-ea"/>
              <a:ea typeface="+mn-ea"/>
              <a:cs typeface="+mn-cs"/>
            </a:rPr>
            <a:t>次に「変更別紙」シートの「対象ご請求番号」に追加</a:t>
          </a:r>
          <a:r>
            <a:rPr lang="en-US" altLang="ja-JP" sz="2000" b="0" i="0" u="none" strike="noStrike" kern="0" baseline="0">
              <a:solidFill>
                <a:sysClr val="windowText" lastClr="000000"/>
              </a:solidFill>
              <a:effectLst/>
              <a:latin typeface="+mn-ea"/>
              <a:ea typeface="+mn-ea"/>
              <a:cs typeface="+mn-cs"/>
            </a:rPr>
            <a:t>/</a:t>
          </a:r>
          <a:r>
            <a:rPr lang="ja-JP" altLang="en-US" sz="2000" b="0" i="0" u="none" strike="noStrike" kern="0" baseline="0">
              <a:solidFill>
                <a:sysClr val="windowText" lastClr="000000"/>
              </a:solidFill>
              <a:effectLst/>
              <a:latin typeface="+mn-ea"/>
              <a:ea typeface="+mn-ea"/>
              <a:cs typeface="+mn-cs"/>
            </a:rPr>
            <a:t>変更</a:t>
          </a:r>
          <a:r>
            <a:rPr lang="en-US" altLang="ja-JP" sz="2000" b="0" i="0" u="none" strike="noStrike" kern="0" baseline="0">
              <a:solidFill>
                <a:sysClr val="windowText" lastClr="000000"/>
              </a:solidFill>
              <a:effectLst/>
              <a:latin typeface="+mn-ea"/>
              <a:ea typeface="+mn-ea"/>
              <a:cs typeface="+mn-cs"/>
            </a:rPr>
            <a:t>/</a:t>
          </a:r>
          <a:r>
            <a:rPr lang="ja-JP" altLang="en-US" sz="2000" b="0" i="0" u="none" strike="noStrike" kern="0" baseline="0">
              <a:solidFill>
                <a:sysClr val="windowText" lastClr="000000"/>
              </a:solidFill>
              <a:effectLst/>
              <a:latin typeface="+mn-ea"/>
              <a:ea typeface="+mn-ea"/>
              <a:cs typeface="+mn-cs"/>
            </a:rPr>
            <a:t>削除するご請求番号を記入ください。</a:t>
          </a: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ファイル形式はエクセルから</a:t>
          </a:r>
          <a:r>
            <a:rPr kumimoji="0" lang="ja-JP" altLang="en-US" sz="2000" b="1" i="0" u="none" strike="noStrike" kern="0" cap="none" spc="0" normalizeH="0" baseline="0" noProof="0">
              <a:ln>
                <a:noFill/>
              </a:ln>
              <a:solidFill>
                <a:srgbClr val="FF0000"/>
              </a:solidFill>
              <a:effectLst/>
              <a:uLnTx/>
              <a:uFillTx/>
              <a:latin typeface="ＭＳ Ｐゴシック" panose="020B0600070205080204" pitchFamily="50" charset="-128"/>
              <a:ea typeface="+mn-ea"/>
              <a:cs typeface="+mn-cs"/>
            </a:rPr>
            <a:t>変えないで</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アップロードしてください。</a:t>
          </a:r>
          <a:endPar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endParaRPr kumimoji="0" lang="en-US" altLang="ja-JP"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600" b="0" i="0" baseline="0">
              <a:effectLst/>
              <a:latin typeface="+mn-lt"/>
              <a:ea typeface="+mn-ea"/>
              <a:cs typeface="+mn-cs"/>
            </a:rPr>
            <a:t>　　（拡張子を</a:t>
          </a:r>
          <a:r>
            <a:rPr lang="en-US" altLang="ja-JP" sz="1600" b="0" i="0" baseline="0">
              <a:effectLst/>
              <a:latin typeface="+mn-lt"/>
              <a:ea typeface="+mn-ea"/>
              <a:cs typeface="+mn-cs"/>
            </a:rPr>
            <a:t>.xls</a:t>
          </a:r>
          <a:r>
            <a:rPr lang="ja-JP" altLang="ja-JP" sz="1600" b="0" i="0" baseline="0">
              <a:effectLst/>
              <a:latin typeface="+mn-lt"/>
              <a:ea typeface="+mn-ea"/>
              <a:cs typeface="+mn-cs"/>
            </a:rPr>
            <a:t>等に変更しないでください。また</a:t>
          </a:r>
          <a:r>
            <a:rPr lang="en-US" altLang="ja-JP" sz="1600" b="0" i="0" baseline="0">
              <a:effectLst/>
              <a:latin typeface="+mn-lt"/>
              <a:ea typeface="+mn-ea"/>
              <a:cs typeface="+mn-cs"/>
            </a:rPr>
            <a:t>PDF</a:t>
          </a:r>
          <a:r>
            <a:rPr lang="ja-JP" altLang="ja-JP" sz="1600" b="0" i="0" baseline="0">
              <a:effectLst/>
              <a:latin typeface="+mn-lt"/>
              <a:ea typeface="+mn-ea"/>
              <a:cs typeface="+mn-cs"/>
            </a:rPr>
            <a:t>形式等に変えないでください。）</a:t>
          </a:r>
          <a:endParaRPr lang="ja-JP" altLang="ja-JP" sz="1600">
            <a:effectLst/>
          </a:endParaRPr>
        </a:p>
      </xdr:txBody>
    </xdr:sp>
    <xdr:clientData/>
  </xdr:twoCellAnchor>
  <xdr:twoCellAnchor>
    <xdr:from>
      <xdr:col>15</xdr:col>
      <xdr:colOff>190500</xdr:colOff>
      <xdr:row>13</xdr:row>
      <xdr:rowOff>19050</xdr:rowOff>
    </xdr:from>
    <xdr:to>
      <xdr:col>25</xdr:col>
      <xdr:colOff>180975</xdr:colOff>
      <xdr:row>15</xdr:row>
      <xdr:rowOff>266700</xdr:rowOff>
    </xdr:to>
    <xdr:sp macro="" textlink="">
      <xdr:nvSpPr>
        <xdr:cNvPr id="8" name="吹き出し: 角を丸めた四角形 7">
          <a:extLst>
            <a:ext uri="{FF2B5EF4-FFF2-40B4-BE49-F238E27FC236}">
              <a16:creationId xmlns:a16="http://schemas.microsoft.com/office/drawing/2014/main" id="{A6527BFF-B407-C902-F221-5FCF982569D0}"/>
            </a:ext>
          </a:extLst>
        </xdr:cNvPr>
        <xdr:cNvSpPr/>
      </xdr:nvSpPr>
      <xdr:spPr>
        <a:xfrm>
          <a:off x="4400550" y="4038600"/>
          <a:ext cx="2143125" cy="600075"/>
        </a:xfrm>
        <a:prstGeom prst="wedgeRoundRectCallout">
          <a:avLst>
            <a:gd name="adj1" fmla="val -67944"/>
            <a:gd name="adj2" fmla="val -1527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20</xdr:col>
      <xdr:colOff>133350</xdr:colOff>
      <xdr:row>9</xdr:row>
      <xdr:rowOff>66674</xdr:rowOff>
    </xdr:from>
    <xdr:to>
      <xdr:col>29</xdr:col>
      <xdr:colOff>390525</xdr:colOff>
      <xdr:row>10</xdr:row>
      <xdr:rowOff>485774</xdr:rowOff>
    </xdr:to>
    <xdr:sp macro="" textlink="">
      <xdr:nvSpPr>
        <xdr:cNvPr id="9" name="吹き出し: 角を丸めた四角形 8">
          <a:extLst>
            <a:ext uri="{FF2B5EF4-FFF2-40B4-BE49-F238E27FC236}">
              <a16:creationId xmlns:a16="http://schemas.microsoft.com/office/drawing/2014/main" id="{D5CECE1F-F4C8-43E4-B422-F0EF0D5A58C8}"/>
            </a:ext>
          </a:extLst>
        </xdr:cNvPr>
        <xdr:cNvSpPr/>
      </xdr:nvSpPr>
      <xdr:spPr>
        <a:xfrm>
          <a:off x="5448300" y="2162174"/>
          <a:ext cx="2352675" cy="981075"/>
        </a:xfrm>
        <a:prstGeom prst="wedgeRoundRectCallout">
          <a:avLst>
            <a:gd name="adj1" fmla="val -47473"/>
            <a:gd name="adj2" fmla="val 90914"/>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「株式会社」含め正確に記載ください</a:t>
          </a:r>
        </a:p>
      </xdr:txBody>
    </xdr:sp>
    <xdr:clientData/>
  </xdr:twoCellAnchor>
  <xdr:twoCellAnchor>
    <xdr:from>
      <xdr:col>28</xdr:col>
      <xdr:colOff>0</xdr:colOff>
      <xdr:row>16</xdr:row>
      <xdr:rowOff>685800</xdr:rowOff>
    </xdr:from>
    <xdr:to>
      <xdr:col>33</xdr:col>
      <xdr:colOff>47625</xdr:colOff>
      <xdr:row>18</xdr:row>
      <xdr:rowOff>238125</xdr:rowOff>
    </xdr:to>
    <xdr:sp macro="" textlink="">
      <xdr:nvSpPr>
        <xdr:cNvPr id="11" name="吹き出し: 角を丸めた四角形 10">
          <a:extLst>
            <a:ext uri="{FF2B5EF4-FFF2-40B4-BE49-F238E27FC236}">
              <a16:creationId xmlns:a16="http://schemas.microsoft.com/office/drawing/2014/main" id="{2B0E05C0-E6FD-4441-BC6F-55C57272C553}"/>
            </a:ext>
          </a:extLst>
        </xdr:cNvPr>
        <xdr:cNvSpPr/>
      </xdr:nvSpPr>
      <xdr:spPr>
        <a:xfrm>
          <a:off x="6991350" y="5791200"/>
          <a:ext cx="2143125" cy="600075"/>
        </a:xfrm>
        <a:prstGeom prst="wedgeRoundRectCallout">
          <a:avLst>
            <a:gd name="adj1" fmla="val -67944"/>
            <a:gd name="adj2" fmla="val -1527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32</xdr:col>
      <xdr:colOff>400050</xdr:colOff>
      <xdr:row>23</xdr:row>
      <xdr:rowOff>66676</xdr:rowOff>
    </xdr:from>
    <xdr:to>
      <xdr:col>47</xdr:col>
      <xdr:colOff>152400</xdr:colOff>
      <xdr:row>30</xdr:row>
      <xdr:rowOff>314325</xdr:rowOff>
    </xdr:to>
    <xdr:sp macro="" textlink="">
      <xdr:nvSpPr>
        <xdr:cNvPr id="12" name="吹き出し: 角を丸めた四角形 11">
          <a:extLst>
            <a:ext uri="{FF2B5EF4-FFF2-40B4-BE49-F238E27FC236}">
              <a16:creationId xmlns:a16="http://schemas.microsoft.com/office/drawing/2014/main" id="{60AE1F94-6E2D-44D0-BE60-D0F102D7F74A}"/>
            </a:ext>
          </a:extLst>
        </xdr:cNvPr>
        <xdr:cNvSpPr/>
      </xdr:nvSpPr>
      <xdr:spPr>
        <a:xfrm>
          <a:off x="9582150" y="7858126"/>
          <a:ext cx="4305300" cy="3676649"/>
        </a:xfrm>
        <a:prstGeom prst="wedgeRoundRectCallout">
          <a:avLst>
            <a:gd name="adj1" fmla="val -106494"/>
            <a:gd name="adj2" fmla="val -13232"/>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エクセル利用時は</a:t>
          </a:r>
          <a:r>
            <a:rPr kumimoji="1" lang="en-US" altLang="ja-JP" sz="1400">
              <a:solidFill>
                <a:sysClr val="windowText" lastClr="000000"/>
              </a:solidFill>
              <a:latin typeface="メイリオ" panose="020B0604030504040204" pitchFamily="50" charset="-128"/>
              <a:ea typeface="メイリオ" panose="020B0604030504040204" pitchFamily="50" charset="-128"/>
            </a:rPr>
            <a:t>CSV</a:t>
          </a:r>
          <a:r>
            <a:rPr kumimoji="1" lang="ja-JP" altLang="en-US" sz="1400">
              <a:solidFill>
                <a:sysClr val="windowText" lastClr="000000"/>
              </a:solidFill>
              <a:latin typeface="メイリオ" panose="020B0604030504040204" pitchFamily="50" charset="-128"/>
              <a:ea typeface="メイリオ" panose="020B0604030504040204" pitchFamily="50" charset="-128"/>
            </a:rPr>
            <a:t>を選択ください。</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a:t>
          </a:r>
          <a:r>
            <a:rPr kumimoji="1" lang="ja-JP" altLang="en-US" sz="1400">
              <a:solidFill>
                <a:sysClr val="windowText" lastClr="000000"/>
              </a:solidFill>
              <a:latin typeface="メイリオ" panose="020B0604030504040204" pitchFamily="50" charset="-128"/>
              <a:ea typeface="メイリオ" panose="020B0604030504040204" pitchFamily="50" charset="-128"/>
            </a:rPr>
            <a:t>適格請求書はこちらの指定にかかわらず</a:t>
          </a:r>
          <a:r>
            <a:rPr kumimoji="1" lang="en-US" altLang="ja-JP" sz="1400">
              <a:solidFill>
                <a:sysClr val="windowText" lastClr="000000"/>
              </a:solidFill>
              <a:latin typeface="メイリオ" panose="020B0604030504040204" pitchFamily="50" charset="-128"/>
              <a:ea typeface="メイリオ" panose="020B0604030504040204" pitchFamily="50" charset="-128"/>
            </a:rPr>
            <a:t>PDF</a:t>
          </a:r>
          <a:r>
            <a:rPr kumimoji="1" lang="ja-JP" altLang="en-US" sz="1400">
              <a:solidFill>
                <a:sysClr val="windowText" lastClr="000000"/>
              </a:solidFill>
              <a:latin typeface="メイリオ" panose="020B0604030504040204" pitchFamily="50" charset="-128"/>
              <a:ea typeface="メイリオ" panose="020B0604030504040204" pitchFamily="50" charset="-128"/>
            </a:rPr>
            <a:t>形式です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200">
              <a:solidFill>
                <a:sysClr val="windowText" lastClr="000000"/>
              </a:solidFill>
              <a:latin typeface="メイリオ" panose="020B0604030504040204" pitchFamily="50" charset="-128"/>
              <a:ea typeface="メイリオ" panose="020B0604030504040204" pitchFamily="50" charset="-128"/>
            </a:rPr>
            <a:t>※csv</a:t>
          </a:r>
          <a:r>
            <a:rPr kumimoji="1" lang="ja-JP" altLang="en-US" sz="1200">
              <a:solidFill>
                <a:sysClr val="windowText" lastClr="000000"/>
              </a:solidFill>
              <a:latin typeface="メイリオ" panose="020B0604030504040204" pitchFamily="50" charset="-128"/>
              <a:ea typeface="メイリオ" panose="020B0604030504040204" pitchFamily="50" charset="-128"/>
            </a:rPr>
            <a:t>：エクセルを使う場合など通常はこちらを選んでください。カンマ区切りのデータです。</a:t>
          </a:r>
          <a:br>
            <a:rPr kumimoji="1" lang="ja-JP" altLang="en-US" sz="1200">
              <a:solidFill>
                <a:sysClr val="windowText" lastClr="000000"/>
              </a:solidFill>
              <a:latin typeface="メイリオ" panose="020B0604030504040204" pitchFamily="50" charset="-128"/>
              <a:ea typeface="メイリオ" panose="020B0604030504040204" pitchFamily="50" charset="-128"/>
            </a:rPr>
          </a:br>
          <a:r>
            <a:rPr kumimoji="1" lang="ja-JP" altLang="en-US" sz="1200">
              <a:solidFill>
                <a:sysClr val="windowText" lastClr="000000"/>
              </a:solidFill>
              <a:latin typeface="メイリオ" panose="020B0604030504040204" pitchFamily="50" charset="-128"/>
              <a:ea typeface="メイリオ" panose="020B0604030504040204" pitchFamily="50" charset="-128"/>
            </a:rPr>
            <a:t>固定長：データの桁数が項目ごとにあらかじめ決まっています。古いシステムで可変長データに対応していないものを使う場合はこちらを選んでください。</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32</xdr:col>
      <xdr:colOff>228599</xdr:colOff>
      <xdr:row>19</xdr:row>
      <xdr:rowOff>257177</xdr:rowOff>
    </xdr:from>
    <xdr:to>
      <xdr:col>47</xdr:col>
      <xdr:colOff>161924</xdr:colOff>
      <xdr:row>22</xdr:row>
      <xdr:rowOff>104776</xdr:rowOff>
    </xdr:to>
    <xdr:sp macro="" textlink="">
      <xdr:nvSpPr>
        <xdr:cNvPr id="13" name="吹き出し: 角を丸めた四角形 12">
          <a:extLst>
            <a:ext uri="{FF2B5EF4-FFF2-40B4-BE49-F238E27FC236}">
              <a16:creationId xmlns:a16="http://schemas.microsoft.com/office/drawing/2014/main" id="{95B1B4A1-E6B3-416E-8C1E-9BED8E07CB00}"/>
            </a:ext>
          </a:extLst>
        </xdr:cNvPr>
        <xdr:cNvSpPr/>
      </xdr:nvSpPr>
      <xdr:spPr>
        <a:xfrm>
          <a:off x="9410699" y="6667502"/>
          <a:ext cx="4486275" cy="1057274"/>
        </a:xfrm>
        <a:prstGeom prst="wedgeRoundRectCallout">
          <a:avLst>
            <a:gd name="adj1" fmla="val -107343"/>
            <a:gd name="adj2" fmla="val 11649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スタンダードプランを選択ください。</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（ダウンロードプランは一部機能がありません）</a:t>
          </a:r>
        </a:p>
      </xdr:txBody>
    </xdr:sp>
    <xdr:clientData/>
  </xdr:twoCellAnchor>
  <xdr:twoCellAnchor>
    <xdr:from>
      <xdr:col>10</xdr:col>
      <xdr:colOff>85724</xdr:colOff>
      <xdr:row>29</xdr:row>
      <xdr:rowOff>221191</xdr:rowOff>
    </xdr:from>
    <xdr:to>
      <xdr:col>30</xdr:col>
      <xdr:colOff>287654</xdr:colOff>
      <xdr:row>34</xdr:row>
      <xdr:rowOff>118322</xdr:rowOff>
    </xdr:to>
    <xdr:sp macro="" textlink="">
      <xdr:nvSpPr>
        <xdr:cNvPr id="14" name="吹き出し: 角を丸めた四角形 13">
          <a:extLst>
            <a:ext uri="{FF2B5EF4-FFF2-40B4-BE49-F238E27FC236}">
              <a16:creationId xmlns:a16="http://schemas.microsoft.com/office/drawing/2014/main" id="{6C52EFFB-9863-4B85-BF65-CB0B20D6AF63}"/>
            </a:ext>
          </a:extLst>
        </xdr:cNvPr>
        <xdr:cNvSpPr/>
      </xdr:nvSpPr>
      <xdr:spPr>
        <a:xfrm>
          <a:off x="3705224" y="11079691"/>
          <a:ext cx="4926330" cy="1325881"/>
        </a:xfrm>
        <a:prstGeom prst="wedgeRoundRectCallout">
          <a:avLst>
            <a:gd name="adj1" fmla="val -31812"/>
            <a:gd name="adj2" fmla="val -77149"/>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登録データとして用いるため、</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PDF</a:t>
          </a:r>
          <a:r>
            <a:rPr kumimoji="1" lang="ja-JP" altLang="en-US" sz="1400">
              <a:solidFill>
                <a:sysClr val="windowText" lastClr="000000"/>
              </a:solidFill>
              <a:latin typeface="メイリオ" panose="020B0604030504040204" pitchFamily="50" charset="-128"/>
              <a:ea typeface="メイリオ" panose="020B0604030504040204" pitchFamily="50" charset="-128"/>
            </a:rPr>
            <a:t>形式で保存したり拡張子を変更したりせず、</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拡張子が</a:t>
          </a:r>
          <a:r>
            <a:rPr kumimoji="1" lang="en-US" altLang="ja-JP" sz="1400">
              <a:solidFill>
                <a:sysClr val="windowText" lastClr="000000"/>
              </a:solidFill>
              <a:latin typeface="メイリオ" panose="020B0604030504040204" pitchFamily="50" charset="-128"/>
              <a:ea typeface="メイリオ" panose="020B0604030504040204" pitchFamily="50" charset="-128"/>
            </a:rPr>
            <a:t>.xlsx</a:t>
          </a:r>
          <a:r>
            <a:rPr kumimoji="1" lang="ja-JP" altLang="en-US" sz="1400">
              <a:solidFill>
                <a:sysClr val="windowText" lastClr="000000"/>
              </a:solidFill>
              <a:latin typeface="メイリオ" panose="020B0604030504040204" pitchFamily="50" charset="-128"/>
              <a:ea typeface="メイリオ" panose="020B0604030504040204" pitchFamily="50" charset="-128"/>
            </a:rPr>
            <a:t>のエクセルファイルのまま送付ください</a:t>
          </a:r>
        </a:p>
      </xdr:txBody>
    </xdr:sp>
    <xdr:clientData/>
  </xdr:twoCellAnchor>
  <xdr:twoCellAnchor>
    <xdr:from>
      <xdr:col>31</xdr:col>
      <xdr:colOff>228600</xdr:colOff>
      <xdr:row>9</xdr:row>
      <xdr:rowOff>333375</xdr:rowOff>
    </xdr:from>
    <xdr:to>
      <xdr:col>45</xdr:col>
      <xdr:colOff>48578</xdr:colOff>
      <xdr:row>16</xdr:row>
      <xdr:rowOff>381003</xdr:rowOff>
    </xdr:to>
    <xdr:sp macro="" textlink="">
      <xdr:nvSpPr>
        <xdr:cNvPr id="15" name="吹き出し: 角を丸めた四角形 14">
          <a:extLst>
            <a:ext uri="{FF2B5EF4-FFF2-40B4-BE49-F238E27FC236}">
              <a16:creationId xmlns:a16="http://schemas.microsoft.com/office/drawing/2014/main" id="{7E2E4B8D-2BA5-42CA-BCAC-F799C1D9C5FE}"/>
            </a:ext>
          </a:extLst>
        </xdr:cNvPr>
        <xdr:cNvSpPr/>
      </xdr:nvSpPr>
      <xdr:spPr>
        <a:xfrm>
          <a:off x="8991600" y="2428875"/>
          <a:ext cx="4296728" cy="3057528"/>
        </a:xfrm>
        <a:prstGeom prst="wedgeRoundRectCallout">
          <a:avLst>
            <a:gd name="adj1" fmla="val -59859"/>
            <a:gd name="adj2" fmla="val -10259"/>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ビリングステーション名義を変更する場合</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①「契約者名変更」をチェックしてください。</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②ご契約者情報は新しい契約者を記載ください</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③「変更別紙」シートは記載不要です。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　（ご請求番号は書かないでください）</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④ご契約サービスの名義変更はこのお申込ではできません。弊社営業担当等にご依頼ください。</a:t>
          </a:r>
        </a:p>
      </xdr:txBody>
    </xdr:sp>
    <xdr:clientData/>
  </xdr:twoCellAnchor>
  <xdr:twoCellAnchor editAs="oneCell">
    <xdr:from>
      <xdr:col>28</xdr:col>
      <xdr:colOff>345283</xdr:colOff>
      <xdr:row>0</xdr:row>
      <xdr:rowOff>107155</xdr:rowOff>
    </xdr:from>
    <xdr:to>
      <xdr:col>35</xdr:col>
      <xdr:colOff>464047</xdr:colOff>
      <xdr:row>3</xdr:row>
      <xdr:rowOff>166685</xdr:rowOff>
    </xdr:to>
    <xdr:pic>
      <xdr:nvPicPr>
        <xdr:cNvPr id="10" name="図 9">
          <a:extLst>
            <a:ext uri="{FF2B5EF4-FFF2-40B4-BE49-F238E27FC236}">
              <a16:creationId xmlns:a16="http://schemas.microsoft.com/office/drawing/2014/main" id="{68CF29CD-5C9E-420B-A0EA-293180500EED}"/>
            </a:ext>
          </a:extLst>
        </xdr:cNvPr>
        <xdr:cNvPicPr>
          <a:picLocks noChangeAspect="1"/>
        </xdr:cNvPicPr>
      </xdr:nvPicPr>
      <xdr:blipFill>
        <a:blip xmlns:r="http://schemas.openxmlformats.org/officeDocument/2006/relationships" r:embed="rId1"/>
        <a:stretch>
          <a:fillRect/>
        </a:stretch>
      </xdr:blipFill>
      <xdr:spPr>
        <a:xfrm>
          <a:off x="8774908" y="107155"/>
          <a:ext cx="3547764" cy="559593"/>
        </a:xfrm>
        <a:prstGeom prst="rect">
          <a:avLst/>
        </a:prstGeom>
      </xdr:spPr>
    </xdr:pic>
    <xdr:clientData/>
  </xdr:twoCellAnchor>
  <xdr:twoCellAnchor>
    <xdr:from>
      <xdr:col>3</xdr:col>
      <xdr:colOff>238126</xdr:colOff>
      <xdr:row>0</xdr:row>
      <xdr:rowOff>0</xdr:rowOff>
    </xdr:from>
    <xdr:to>
      <xdr:col>46</xdr:col>
      <xdr:colOff>164309</xdr:colOff>
      <xdr:row>8</xdr:row>
      <xdr:rowOff>95251</xdr:rowOff>
    </xdr:to>
    <xdr:grpSp>
      <xdr:nvGrpSpPr>
        <xdr:cNvPr id="19" name="グループ化 18">
          <a:extLst>
            <a:ext uri="{FF2B5EF4-FFF2-40B4-BE49-F238E27FC236}">
              <a16:creationId xmlns:a16="http://schemas.microsoft.com/office/drawing/2014/main" id="{7514B992-C8A9-4E9D-8E05-D26A8109C426}"/>
            </a:ext>
          </a:extLst>
        </xdr:cNvPr>
        <xdr:cNvGrpSpPr/>
      </xdr:nvGrpSpPr>
      <xdr:grpSpPr>
        <a:xfrm>
          <a:off x="1631157" y="0"/>
          <a:ext cx="13594558" cy="1893095"/>
          <a:chOff x="1625439" y="166211"/>
          <a:chExt cx="13594558" cy="1893095"/>
        </a:xfrm>
      </xdr:grpSpPr>
      <xdr:sp macro="" textlink="">
        <xdr:nvSpPr>
          <xdr:cNvPr id="20" name="Text Box 5">
            <a:extLst>
              <a:ext uri="{FF2B5EF4-FFF2-40B4-BE49-F238E27FC236}">
                <a16:creationId xmlns:a16="http://schemas.microsoft.com/office/drawing/2014/main" id="{631991C6-34F5-3560-07BB-078408D45D45}"/>
              </a:ext>
            </a:extLst>
          </xdr:cNvPr>
          <xdr:cNvSpPr txBox="1">
            <a:spLocks noChangeArrowheads="1"/>
          </xdr:cNvSpPr>
        </xdr:nvSpPr>
        <xdr:spPr bwMode="auto">
          <a:xfrm>
            <a:off x="13258800" y="166211"/>
            <a:ext cx="97155" cy="27241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1" name="吹き出し: 角を丸めた四角形 20">
            <a:hlinkClick xmlns:r="http://schemas.openxmlformats.org/officeDocument/2006/relationships" r:id="rId2"/>
            <a:extLst>
              <a:ext uri="{FF2B5EF4-FFF2-40B4-BE49-F238E27FC236}">
                <a16:creationId xmlns:a16="http://schemas.microsoft.com/office/drawing/2014/main" id="{C9EBFBBE-BE88-14A6-0147-1E88450A05BC}"/>
              </a:ext>
            </a:extLst>
          </xdr:cNvPr>
          <xdr:cNvSpPr/>
        </xdr:nvSpPr>
        <xdr:spPr>
          <a:xfrm>
            <a:off x="1625439" y="272415"/>
            <a:ext cx="13594558" cy="1786891"/>
          </a:xfrm>
          <a:prstGeom prst="wedgeRoundRectCallout">
            <a:avLst>
              <a:gd name="adj1" fmla="val -30008"/>
              <a:gd name="adj2" fmla="val 90427"/>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ビリングステーションログイン後、画面上部に表示される「</a:t>
            </a:r>
            <a:r>
              <a:rPr kumimoji="1" lang="en-US" altLang="ja-JP" sz="1400">
                <a:solidFill>
                  <a:sysClr val="windowText" lastClr="000000"/>
                </a:solidFill>
                <a:latin typeface="メイリオ" panose="020B0604030504040204" pitchFamily="50" charset="-128"/>
                <a:ea typeface="メイリオ" panose="020B0604030504040204" pitchFamily="50" charset="-128"/>
              </a:rPr>
              <a:t>BS</a:t>
            </a:r>
            <a:r>
              <a:rPr kumimoji="1" lang="ja-JP" altLang="en-US" sz="1400">
                <a:solidFill>
                  <a:sysClr val="windowText" lastClr="000000"/>
                </a:solidFill>
                <a:latin typeface="メイリオ" panose="020B0604030504040204" pitchFamily="50" charset="-128"/>
                <a:ea typeface="メイリオ" panose="020B0604030504040204" pitchFamily="50" charset="-128"/>
              </a:rPr>
              <a:t>」から始まる番号です。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a:t>
            </a:r>
            <a:r>
              <a:rPr kumimoji="1" lang="ja-JP" altLang="en-US" sz="1400">
                <a:solidFill>
                  <a:sysClr val="windowText" lastClr="000000"/>
                </a:solidFill>
                <a:latin typeface="メイリオ" panose="020B0604030504040204" pitchFamily="50" charset="-128"/>
                <a:ea typeface="メイリオ" panose="020B0604030504040204" pitchFamily="50" charset="-128"/>
              </a:rPr>
              <a:t>ログイン</a:t>
            </a:r>
            <a:r>
              <a:rPr kumimoji="1" lang="en-US" altLang="ja-JP" sz="1400">
                <a:solidFill>
                  <a:sysClr val="windowText" lastClr="000000"/>
                </a:solidFill>
                <a:latin typeface="メイリオ" panose="020B0604030504040204" pitchFamily="50" charset="-128"/>
                <a:ea typeface="メイリオ" panose="020B0604030504040204" pitchFamily="50" charset="-128"/>
              </a:rPr>
              <a:t>ID</a:t>
            </a:r>
            <a:r>
              <a:rPr kumimoji="1" lang="ja-JP" altLang="en-US" sz="1400">
                <a:solidFill>
                  <a:sysClr val="windowText" lastClr="000000"/>
                </a:solidFill>
                <a:latin typeface="メイリオ" panose="020B0604030504040204" pitchFamily="50" charset="-128"/>
                <a:ea typeface="メイリオ" panose="020B0604030504040204" pitchFamily="50" charset="-128"/>
              </a:rPr>
              <a:t>ではありません</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画面上の表示場所ご案内：</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https://support.ntt.com/business/faq/detail/pid2300001v74</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pic>
        <xdr:nvPicPr>
          <xdr:cNvPr id="22" name="図 21">
            <a:extLst>
              <a:ext uri="{FF2B5EF4-FFF2-40B4-BE49-F238E27FC236}">
                <a16:creationId xmlns:a16="http://schemas.microsoft.com/office/drawing/2014/main" id="{BE81C898-6509-D21C-0145-7FD33EC6631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624060" y="472573"/>
            <a:ext cx="5454015" cy="1399564"/>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23" name="正方形/長方形 22">
            <a:extLst>
              <a:ext uri="{FF2B5EF4-FFF2-40B4-BE49-F238E27FC236}">
                <a16:creationId xmlns:a16="http://schemas.microsoft.com/office/drawing/2014/main" id="{ACA5B6E8-87D1-54F1-FAFC-3A048600D1C3}"/>
              </a:ext>
            </a:extLst>
          </xdr:cNvPr>
          <xdr:cNvSpPr/>
        </xdr:nvSpPr>
        <xdr:spPr>
          <a:xfrm>
            <a:off x="9786937" y="566261"/>
            <a:ext cx="1321594" cy="250031"/>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pic>
        <xdr:nvPicPr>
          <xdr:cNvPr id="24" name="図 23">
            <a:extLst>
              <a:ext uri="{FF2B5EF4-FFF2-40B4-BE49-F238E27FC236}">
                <a16:creationId xmlns:a16="http://schemas.microsoft.com/office/drawing/2014/main" id="{9FF30EB5-AA3F-D424-C7D2-B5E861A4B800}"/>
              </a:ext>
            </a:extLst>
          </xdr:cNvPr>
          <xdr:cNvPicPr>
            <a:picLocks noChangeAspect="1"/>
          </xdr:cNvPicPr>
        </xdr:nvPicPr>
        <xdr:blipFill>
          <a:blip xmlns:r="http://schemas.openxmlformats.org/officeDocument/2006/relationships" r:embed="rId1"/>
          <a:stretch>
            <a:fillRect/>
          </a:stretch>
        </xdr:blipFill>
        <xdr:spPr>
          <a:xfrm>
            <a:off x="9727407" y="554356"/>
            <a:ext cx="1440656" cy="227236"/>
          </a:xfrm>
          <a:prstGeom prst="rect">
            <a:avLst/>
          </a:prstGeom>
        </xdr:spPr>
      </xdr:pic>
      <xdr:sp macro="" textlink="">
        <xdr:nvSpPr>
          <xdr:cNvPr id="25" name="正方形/長方形 24">
            <a:extLst>
              <a:ext uri="{FF2B5EF4-FFF2-40B4-BE49-F238E27FC236}">
                <a16:creationId xmlns:a16="http://schemas.microsoft.com/office/drawing/2014/main" id="{1B8ED216-8D82-D8B4-6408-BCC940F2B139}"/>
              </a:ext>
            </a:extLst>
          </xdr:cNvPr>
          <xdr:cNvSpPr/>
        </xdr:nvSpPr>
        <xdr:spPr>
          <a:xfrm>
            <a:off x="9701210" y="897255"/>
            <a:ext cx="1633539" cy="97632"/>
          </a:xfrm>
          <a:prstGeom prst="rect">
            <a:avLst/>
          </a:prstGeom>
          <a:solidFill>
            <a:schemeClr val="bg1"/>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335280</xdr:colOff>
      <xdr:row>11</xdr:row>
      <xdr:rowOff>209550</xdr:rowOff>
    </xdr:from>
    <xdr:to>
      <xdr:col>6</xdr:col>
      <xdr:colOff>1278255</xdr:colOff>
      <xdr:row>20</xdr:row>
      <xdr:rowOff>219075</xdr:rowOff>
    </xdr:to>
    <xdr:sp macro="" textlink="">
      <xdr:nvSpPr>
        <xdr:cNvPr id="4" name="吹き出し: 角を丸めた四角形 3">
          <a:extLst>
            <a:ext uri="{FF2B5EF4-FFF2-40B4-BE49-F238E27FC236}">
              <a16:creationId xmlns:a16="http://schemas.microsoft.com/office/drawing/2014/main" id="{9617AACE-DD7D-4FE6-AF63-9EAF6B7B928A}"/>
            </a:ext>
          </a:extLst>
        </xdr:cNvPr>
        <xdr:cNvSpPr/>
      </xdr:nvSpPr>
      <xdr:spPr>
        <a:xfrm>
          <a:off x="2021205" y="5972175"/>
          <a:ext cx="4248150" cy="2495550"/>
        </a:xfrm>
        <a:prstGeom prst="wedgeRoundRectCallout">
          <a:avLst>
            <a:gd name="adj1" fmla="val -4168"/>
            <a:gd name="adj2" fmla="val 67147"/>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オレンジ網掛けで注意が出る場合は、ご請求番号の形式が異なります。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桁数、ご請求番号ではない番号を書いていないか　などご確認ください。</a:t>
          </a:r>
        </a:p>
      </xdr:txBody>
    </xdr:sp>
    <xdr:clientData/>
  </xdr:twoCellAnchor>
  <xdr:twoCellAnchor editAs="oneCell">
    <xdr:from>
      <xdr:col>4</xdr:col>
      <xdr:colOff>1617345</xdr:colOff>
      <xdr:row>23</xdr:row>
      <xdr:rowOff>17145</xdr:rowOff>
    </xdr:from>
    <xdr:to>
      <xdr:col>5</xdr:col>
      <xdr:colOff>1628570</xdr:colOff>
      <xdr:row>23</xdr:row>
      <xdr:rowOff>276192</xdr:rowOff>
    </xdr:to>
    <xdr:pic>
      <xdr:nvPicPr>
        <xdr:cNvPr id="9" name="図 8">
          <a:extLst>
            <a:ext uri="{FF2B5EF4-FFF2-40B4-BE49-F238E27FC236}">
              <a16:creationId xmlns:a16="http://schemas.microsoft.com/office/drawing/2014/main" id="{9827C9B1-CD3A-0D63-9CC1-5464C80C36AF}"/>
            </a:ext>
          </a:extLst>
        </xdr:cNvPr>
        <xdr:cNvPicPr>
          <a:picLocks noChangeAspect="1"/>
        </xdr:cNvPicPr>
      </xdr:nvPicPr>
      <xdr:blipFill>
        <a:blip xmlns:r="http://schemas.openxmlformats.org/officeDocument/2006/relationships" r:embed="rId1"/>
        <a:stretch>
          <a:fillRect/>
        </a:stretch>
      </xdr:blipFill>
      <xdr:spPr>
        <a:xfrm>
          <a:off x="3303270" y="9094470"/>
          <a:ext cx="1630475" cy="259047"/>
        </a:xfrm>
        <a:prstGeom prst="rect">
          <a:avLst/>
        </a:prstGeom>
      </xdr:spPr>
    </xdr:pic>
    <xdr:clientData/>
  </xdr:twoCellAnchor>
  <xdr:twoCellAnchor>
    <xdr:from>
      <xdr:col>4</xdr:col>
      <xdr:colOff>449580</xdr:colOff>
      <xdr:row>2</xdr:row>
      <xdr:rowOff>1905</xdr:rowOff>
    </xdr:from>
    <xdr:to>
      <xdr:col>6</xdr:col>
      <xdr:colOff>751047</xdr:colOff>
      <xdr:row>6</xdr:row>
      <xdr:rowOff>76200</xdr:rowOff>
    </xdr:to>
    <xdr:sp macro="" textlink="">
      <xdr:nvSpPr>
        <xdr:cNvPr id="10" name="吹き出し: 角を丸めた四角形 9">
          <a:hlinkClick xmlns:r="http://schemas.openxmlformats.org/officeDocument/2006/relationships" r:id="rId2"/>
          <a:extLst>
            <a:ext uri="{FF2B5EF4-FFF2-40B4-BE49-F238E27FC236}">
              <a16:creationId xmlns:a16="http://schemas.microsoft.com/office/drawing/2014/main" id="{51DC0D8D-8ED5-40EF-BED0-CEA15663A7E6}"/>
            </a:ext>
          </a:extLst>
        </xdr:cNvPr>
        <xdr:cNvSpPr/>
      </xdr:nvSpPr>
      <xdr:spPr>
        <a:xfrm>
          <a:off x="2135505" y="1221105"/>
          <a:ext cx="3606642" cy="1560195"/>
        </a:xfrm>
        <a:prstGeom prst="wedgeRoundRectCallout">
          <a:avLst>
            <a:gd name="adj1" fmla="val -38672"/>
            <a:gd name="adj2" fmla="val 8189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ご請求番号の確認方法ご案内：</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https://support.ntt.com/business/faq/detail/pid2300001ugl</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13</xdr:col>
      <xdr:colOff>214312</xdr:colOff>
      <xdr:row>7</xdr:row>
      <xdr:rowOff>83343</xdr:rowOff>
    </xdr:from>
    <xdr:to>
      <xdr:col>17</xdr:col>
      <xdr:colOff>442097</xdr:colOff>
      <xdr:row>11</xdr:row>
      <xdr:rowOff>194531</xdr:rowOff>
    </xdr:to>
    <xdr:sp macro="" textlink="">
      <xdr:nvSpPr>
        <xdr:cNvPr id="7" name="テキスト ボックス 6">
          <a:extLst>
            <a:ext uri="{FF2B5EF4-FFF2-40B4-BE49-F238E27FC236}">
              <a16:creationId xmlns:a16="http://schemas.microsoft.com/office/drawing/2014/main" id="{0D120E71-7697-4CB7-A352-CEAB77CADE6F}"/>
            </a:ext>
          </a:extLst>
        </xdr:cNvPr>
        <xdr:cNvSpPr txBox="1"/>
      </xdr:nvSpPr>
      <xdr:spPr>
        <a:xfrm>
          <a:off x="6762750" y="3167062"/>
          <a:ext cx="3228160" cy="2778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&lt;</a:t>
          </a:r>
          <a:r>
            <a:rPr kumimoji="1" lang="ja-JP" altLang="en-US" sz="1100"/>
            <a:t>ご確認事項</a:t>
          </a:r>
          <a:r>
            <a:rPr kumimoji="1" lang="en-US" altLang="ja-JP" sz="1100"/>
            <a:t>&gt;</a:t>
          </a:r>
        </a:p>
        <a:p>
          <a:endParaRPr kumimoji="1" lang="en-US" altLang="ja-JP" sz="1100"/>
        </a:p>
        <a:p>
          <a:r>
            <a:rPr kumimoji="1" lang="ja-JP" altLang="en-US" sz="1100"/>
            <a:t>ご請求番号　またはご契約番号のどちらかを必ずご記載ください</a:t>
          </a:r>
          <a:endParaRPr kumimoji="1" lang="en-US" altLang="ja-JP" sz="1100"/>
        </a:p>
        <a:p>
          <a:r>
            <a:rPr kumimoji="1" lang="en-US" altLang="ja-JP" sz="1100"/>
            <a:t>※</a:t>
          </a:r>
          <a:r>
            <a:rPr kumimoji="1" lang="ja-JP" altLang="en-US" sz="1100"/>
            <a:t>　</a:t>
          </a:r>
          <a:r>
            <a:rPr kumimoji="1" lang="en-US" altLang="ja-JP" sz="1100"/>
            <a:t>NTT</a:t>
          </a:r>
          <a:r>
            <a:rPr kumimoji="1" lang="ja-JP" altLang="en-US" sz="1100"/>
            <a:t>ファイナンス請求の場合、延滞利息等の補正金額がビリングステーションに反映されない事がございます。ご了承の上、お申し込みください。</a:t>
          </a:r>
          <a:endParaRPr kumimoji="1" lang="en-US" altLang="ja-JP" sz="1100"/>
        </a:p>
        <a:p>
          <a:r>
            <a:rPr kumimoji="1" lang="en-US" altLang="ja-JP" sz="1100"/>
            <a:t>※</a:t>
          </a:r>
          <a:r>
            <a:rPr kumimoji="1" lang="ja-JP" altLang="en-US" sz="1100"/>
            <a:t>　申込区分については、追加、削除のいずれかをプルダウンで選択してください。削除にチェックを入れた場合、番号別内訳書は紙送付で請求書と同封になります。</a:t>
          </a:r>
          <a:endParaRPr kumimoji="1" lang="en-US" altLang="ja-JP"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CCD35D6-A0AD-4020-A1FF-F94A46DD4123}" name="変更申込書" displayName="変更申込書" ref="A8:Y9" totalsRowShown="0" headerRowDxfId="55" dataDxfId="53" headerRowBorderDxfId="54" tableBorderDxfId="52" totalsRowBorderDxfId="51">
  <autoFilter ref="A8:Y9" xr:uid="{5CCD35D6-A0AD-4020-A1FF-F94A46DD4123}"/>
  <tableColumns count="25">
    <tableColumn id="1" xr3:uid="{42E044FB-CEFE-4F40-AF58-FBB539B44DE6}" name="ファイル名" dataDxfId="50"/>
    <tableColumn id="2" xr3:uid="{1B380286-7DA8-4774-9E07-A8CBE2C21435}" name="お申込年月日" dataDxfId="49">
      <calculatedColumnFormula>ASC(IF(applicationArrivalDate="","",applicationArrivalDate))</calculatedColumnFormula>
    </tableColumn>
    <tableColumn id="3" xr3:uid="{CFBECECD-92D0-48E4-B74B-B1E8A3F54CD0}" name="ご契約者名（会社名）フリガナ" dataDxfId="48">
      <calculatedColumnFormula array="1">IF(SUMPRODUCT(--ISNUMBER(FIND(MID(Y1, ROW(INDIRECT("1:" &amp; LEN(Y1))),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～")))=LEN(Y1), Y1, 1/0)</calculatedColumnFormula>
    </tableColumn>
    <tableColumn id="4" xr3:uid="{A39313CC-A373-40B4-8880-D66B8595D30D}" name="ご契約者名（会社名）" dataDxfId="47">
      <calculatedColumnFormula>DBCS(SUBSTITUTE(SUBSTITUTE(TRIM(contractCustomerName)," ","　"),CHAR(10),"　"))</calculatedColumnFormula>
    </tableColumn>
    <tableColumn id="13" xr3:uid="{20FA2B69-5369-4E31-B93B-D992BC5B5D44}" name="ご契約名義変更フラグ" dataDxfId="46">
      <calculatedColumnFormula>IF(meigiHenkou="✓",1,0)</calculatedColumnFormula>
    </tableColumn>
    <tableColumn id="5" xr3:uid="{5393E043-6FE9-4735-8FF5-344C38530F80}" name="郵便番号" dataDxfId="45">
      <calculatedColumnFormula>ASC(SUBSTITUTE(contractCustomerPostalNumber,"-",""))</calculatedColumnFormula>
    </tableColumn>
    <tableColumn id="7" xr3:uid="{11F1E5BD-45E2-4830-8CE3-3C1ACC3C872A}" name="ご契約者住所" dataDxfId="44">
      <calculatedColumnFormula>DBCS(SUBSTITUTE(SUBSTITUTE(TRIM(contractCustomerAddress)," ","　"),CHAR(10),"　"))</calculatedColumnFormula>
    </tableColumn>
    <tableColumn id="14" xr3:uid="{ADABF5C8-66C7-4711-AB2A-3943D3786848}" name="ご契約者住所2" dataDxfId="43">
      <calculatedColumnFormula>DBCS(SUBSTITUTE(SUBSTITUTE(TRIM(contractCustomerAddress2)," ","　"),CHAR(10),"　"))</calculatedColumnFormula>
    </tableColumn>
    <tableColumn id="8" xr3:uid="{17E16EAE-CD80-488D-98EC-2F6C612DC47C}" name="ご契約者連絡先　電話番号" dataDxfId="42">
      <calculatedColumnFormula>ASC(SUBSTITUTE(billingStationPhoneNumber,"-",""))</calculatedColumnFormula>
    </tableColumn>
    <tableColumn id="9" xr3:uid="{113052A7-7A4C-4125-BD28-EA89607E178A}" name="ご契約者連絡先　部署名フリガナ" dataDxfId="41">
      <calculatedColumnFormula array="1">IF(SUMPRODUCT(--ISNUMBER(FIND(MID(Y2, ROW(INDIRECT("1:" &amp; LEN(Y2))),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～")))=LEN(Y2), Y2, 1/0)</calculatedColumnFormula>
    </tableColumn>
    <tableColumn id="10" xr3:uid="{68212616-6281-4223-9465-D7BA731DB06C}" name="ご契約者連絡先　部署名" dataDxfId="40">
      <calculatedColumnFormula>DBCS(SUBSTITUTE(SUBSTITUTE(TRIM(billingStationDeptName)," ","　"),CHAR(10),"　"))</calculatedColumnFormula>
    </tableColumn>
    <tableColumn id="11" xr3:uid="{AD209685-8B97-4DCA-A93C-C592D031CBE4}" name="ご契約者連絡先　担当者名フリガナ" dataDxfId="39">
      <calculatedColumnFormula array="1">IF(SUMPRODUCT(--ISNUMBER(FIND(MID(Y3, ROW(INDIRECT("1:" &amp; LEN(Y3))),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～")))=LEN(Y3), Y3, 1/0)</calculatedColumnFormula>
    </tableColumn>
    <tableColumn id="12" xr3:uid="{93D80FCB-8A74-40D2-8B4F-8FE6C1873FF1}" name="ご契約者連絡先　担当者名" dataDxfId="38">
      <calculatedColumnFormula>DBCS(SUBSTITUTE(SUBSTITUTE(TRIM(billingStationPerson)," ","　"),CHAR(10),"　"))</calculatedColumnFormula>
    </tableColumn>
    <tableColumn id="23" xr3:uid="{6E83971C-B67E-401E-8AC5-57DC150C5C94}" name="メールアドレス" dataDxfId="37"/>
    <tableColumn id="22" xr3:uid="{48AEBC46-8B88-47DB-B3E5-67BF9251CDA8}" name="認証キー" dataDxfId="36"/>
    <tableColumn id="20" xr3:uid="{46582209-6511-4E81-88C8-4738E83CD729}" name="ご使用データ形式（新規）" dataDxfId="35"/>
    <tableColumn id="24" xr3:uid="{33A8AAAE-5CC6-45AE-BFA1-5EBB1208B528}" name="ご利用データ形式（変更）" dataDxfId="34">
      <calculatedColumnFormula>IF(billingStationUseDataByNumber="","csv",billingStationUseDataByNumber)</calculatedColumnFormula>
    </tableColumn>
    <tableColumn id="15" xr3:uid="{34AA4EEC-CDC7-4452-A765-552DB3D847B2}" name="BSお客様番号" dataDxfId="33">
      <calculatedColumnFormula>ASC(billingStationCustomerNumber)</calculatedColumnFormula>
    </tableColumn>
    <tableColumn id="25" xr3:uid="{3B7F117B-3311-458E-AEE4-A832E6145EA1}" name="申込プラン" dataDxfId="32">
      <calculatedColumnFormula>IF(billingStationPlan="","スタンダード",billingStationPlan)</calculatedColumnFormula>
    </tableColumn>
    <tableColumn id="16" xr3:uid="{D76E829F-0C51-4137-A3B7-0B14B01C1F85}" name="備考" dataDxfId="31">
      <calculatedColumnFormula>comment&amp;""</calculatedColumnFormula>
    </tableColumn>
    <tableColumn id="17" xr3:uid="{3ACE0277-A267-441B-B446-AD178F0DF60C}" name="販売担当者　部署名" dataDxfId="30">
      <calculatedColumnFormula>salesChannelDeptName&amp;""</calculatedColumnFormula>
    </tableColumn>
    <tableColumn id="18" xr3:uid="{478AB832-2A69-40E3-AA2C-537C9238EC8C}" name="販売担当者　担当者名" dataDxfId="29">
      <calculatedColumnFormula>salesChannelPersonName&amp;""</calculatedColumnFormula>
    </tableColumn>
    <tableColumn id="19" xr3:uid="{EC5410D6-B7F5-4204-A776-64C08D4E5798}" name="販売担当者　電話番号" dataDxfId="28">
      <calculatedColumnFormula>salesChannelPhoneNumber&amp;""</calculatedColumnFormula>
    </tableColumn>
    <tableColumn id="21" xr3:uid="{E60D13D1-A7BD-461B-9623-8723A3074BDC}" name="販売担当者　メールアドレス" dataDxfId="27">
      <calculatedColumnFormula>salesChannelMailAddress&amp;""</calculatedColumnFormula>
    </tableColumn>
    <tableColumn id="6" xr3:uid="{87480A6B-37EB-4522-8694-D1EA5FF7EBFB}" name="エラー数チェック" dataDxfId="26">
      <calculatedColumnFormula array="1">SUMPRODUCT(ISERROR(変更申込書[[#This Row],[ファイル名]:[販売担当者　メールアドレス]])*1)</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6BEBB5D-C1A1-4057-B46F-A767E7F8339D}" name="申込書バージョン" displayName="申込書バージョン" ref="A3:B4" totalsRowShown="0" dataDxfId="25">
  <autoFilter ref="A3:B4" xr:uid="{06BEBB5D-C1A1-4057-B46F-A767E7F8339D}"/>
  <tableColumns count="2">
    <tableColumn id="1" xr3:uid="{A91A735B-BD82-497E-89F5-F772DDF1B1B1}" name="バージョン" dataDxfId="24">
      <calculatedColumnFormula>formVersion</calculatedColumnFormula>
    </tableColumn>
    <tableColumn id="2" xr3:uid="{CEC9E957-4851-49AB-877F-F16DEF9A95A4}" name="用途" dataDxfId="2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699278A-AB5A-43A0-8258-A442AF09B360}" name="様式" displayName="様式" ref="D3:D4" totalsRowShown="0">
  <autoFilter ref="D3:D4" xr:uid="{3699278A-AB5A-43A0-8258-A442AF09B360}"/>
  <tableColumns count="1">
    <tableColumn id="1" xr3:uid="{71D8FF51-A7A1-4FB6-B14C-C2646933DE27}" name="名称"/>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FD32B30-BC9C-48F2-BF8F-E0DFF05EAFF3}" name="番明" displayName="番明" ref="A12:L512" totalsRowShown="0">
  <autoFilter ref="A12:L512" xr:uid="{BFD32B30-BC9C-48F2-BF8F-E0DFF05EAFF3}"/>
  <tableColumns count="12">
    <tableColumn id="1" xr3:uid="{7712E579-C9B7-4A00-818C-A9B48700496A}" name="項番"/>
    <tableColumn id="2" xr3:uid="{AE1C8B06-4553-448B-A49F-F4582F37001E}" name="申込区分"/>
    <tableColumn id="3" xr3:uid="{B2A1BE84-6815-407C-B569-47705A350B79}" name="請求種別"/>
    <tableColumn id="4" xr3:uid="{36E642FC-8C2D-486C-8B10-83550F512286}" name="ご請求番号"/>
    <tableColumn id="5" xr3:uid="{1351E1EF-4C6F-44EA-9383-1CACEA293502}" name="請求番号ハイフンなし" dataDxfId="22">
      <calculatedColumnFormula>UPPER(SUBSTITUTE(番明[[#This Row],[ご請求番号]],"-",""))</calculatedColumnFormula>
    </tableColumn>
    <tableColumn id="6" xr3:uid="{46380109-6F8C-4D24-8FA2-35ECC858D306}" name="ご契約番号"/>
    <tableColumn id="7" xr3:uid="{C98DB2A0-D685-4AEA-B035-DA929DE73436}" name="会社コード有無"/>
    <tableColumn id="8" xr3:uid="{00A51751-7D34-40AD-95D2-96BEA2E86874}" name="対象会社コード"/>
    <tableColumn id="9" xr3:uid="{5F77EA1C-DA04-41C4-8D0A-47D63EBFDD90}" name="一括フラグ（ACCEL）"/>
    <tableColumn id="10" xr3:uid="{A4409AF6-0316-42CB-89AA-011FA246468E}" name="分割有無"/>
    <tableColumn id="11" xr3:uid="{E22F73E7-8C3A-4386-BA1D-7A82FB68F6EA}" name="分割番号（BELUGA）"/>
    <tableColumn id="12" xr3:uid="{CE9F8630-B194-4DA6-90C8-88B039D92B30}" name="取得要否"/>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support.ntt.com/business/inquiry/input/pid2200001z8u"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support.ntt.com/business/inquiry/input/pid2200001z8u"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 Id="rId5" Type="http://schemas.openxmlformats.org/officeDocument/2006/relationships/table" Target="../tables/table4.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J49"/>
  <sheetViews>
    <sheetView showGridLines="0" tabSelected="1" zoomScale="80" zoomScaleNormal="80" zoomScaleSheetLayoutView="90" workbookViewId="0">
      <selection activeCell="K10" sqref="K10:AE10"/>
    </sheetView>
  </sheetViews>
  <sheetFormatPr defaultColWidth="9" defaultRowHeight="13.5"/>
  <cols>
    <col min="1" max="4" width="6.125" style="30" customWidth="1"/>
    <col min="5" max="10" width="4.625" style="30" customWidth="1"/>
    <col min="11" max="12" width="3.125" style="30" customWidth="1"/>
    <col min="13" max="18" width="3.375" style="30" customWidth="1"/>
    <col min="19" max="28" width="3.125" style="30" customWidth="1"/>
    <col min="29" max="34" width="6.125" style="30" customWidth="1"/>
    <col min="35" max="35" width="8.375" style="30" customWidth="1"/>
    <col min="36" max="36" width="7.75" style="30" customWidth="1"/>
    <col min="37" max="57" width="3.625" style="30" customWidth="1"/>
    <col min="58" max="16384" width="9" style="30"/>
  </cols>
  <sheetData>
    <row r="1" spans="1:36" ht="13.5" customHeight="1">
      <c r="A1" s="141"/>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row>
    <row r="2" spans="1:36" ht="13.5" customHeight="1">
      <c r="A2" s="141"/>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row>
    <row r="3" spans="1:36" ht="13.5" customHeight="1">
      <c r="A3" s="31"/>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6" ht="13.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row>
    <row r="5" spans="1:36" ht="19.899999999999999" customHeight="1">
      <c r="A5" s="31"/>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139" t="s">
        <v>0</v>
      </c>
      <c r="AG5" s="140"/>
      <c r="AH5" s="32" t="s">
        <v>1</v>
      </c>
      <c r="AI5" s="33">
        <v>2.2999999999999998</v>
      </c>
    </row>
    <row r="6" spans="1:36" ht="43.15" customHeight="1">
      <c r="A6" s="147" t="s">
        <v>220</v>
      </c>
      <c r="B6" s="147"/>
      <c r="C6" s="147"/>
      <c r="D6" s="147"/>
      <c r="E6" s="147"/>
      <c r="F6" s="147"/>
      <c r="G6" s="147"/>
      <c r="H6" s="147"/>
      <c r="I6" s="147"/>
      <c r="J6" s="147"/>
      <c r="K6" s="147"/>
      <c r="L6" s="147"/>
      <c r="M6" s="147"/>
      <c r="N6" s="147"/>
      <c r="O6" s="147"/>
      <c r="P6" s="147"/>
      <c r="Q6" s="147"/>
      <c r="R6" s="147"/>
      <c r="S6" s="147"/>
      <c r="T6" s="147"/>
      <c r="U6" s="147"/>
      <c r="V6" s="147"/>
      <c r="W6" s="147"/>
      <c r="X6" s="147"/>
      <c r="Y6" s="147"/>
      <c r="Z6" s="147"/>
      <c r="AA6" s="147"/>
      <c r="AB6" s="147"/>
      <c r="AC6" s="147"/>
      <c r="AD6" s="147"/>
      <c r="AE6" s="34"/>
      <c r="AF6" s="34"/>
      <c r="AG6" s="34"/>
      <c r="AJ6" s="34"/>
    </row>
    <row r="7" spans="1:36">
      <c r="A7" s="35"/>
    </row>
    <row r="8" spans="1:36">
      <c r="A8" s="35"/>
    </row>
    <row r="9" spans="1:36" ht="21" customHeight="1" thickBot="1">
      <c r="A9" s="36" t="s">
        <v>2</v>
      </c>
    </row>
    <row r="10" spans="1:36" ht="44.45" customHeight="1">
      <c r="A10" s="169" t="s">
        <v>3</v>
      </c>
      <c r="B10" s="170"/>
      <c r="C10" s="170"/>
      <c r="D10" s="170"/>
      <c r="E10" s="170"/>
      <c r="F10" s="170"/>
      <c r="G10" s="170"/>
      <c r="H10" s="170"/>
      <c r="I10" s="170"/>
      <c r="J10" s="171"/>
      <c r="K10" s="160"/>
      <c r="L10" s="161"/>
      <c r="M10" s="161"/>
      <c r="N10" s="161"/>
      <c r="O10" s="161"/>
      <c r="P10" s="161"/>
      <c r="Q10" s="161"/>
      <c r="R10" s="161"/>
      <c r="S10" s="161"/>
      <c r="T10" s="161"/>
      <c r="U10" s="161"/>
      <c r="V10" s="161"/>
      <c r="W10" s="161"/>
      <c r="X10" s="161"/>
      <c r="Y10" s="161"/>
      <c r="Z10" s="161"/>
      <c r="AA10" s="161"/>
      <c r="AB10" s="161"/>
      <c r="AC10" s="161"/>
      <c r="AD10" s="161"/>
      <c r="AE10" s="162"/>
      <c r="AF10" s="148" t="s">
        <v>4</v>
      </c>
      <c r="AG10" s="149"/>
      <c r="AH10" s="149"/>
      <c r="AI10" s="149"/>
      <c r="AJ10" s="150"/>
    </row>
    <row r="11" spans="1:36" ht="44.45" customHeight="1">
      <c r="A11" s="178" t="s">
        <v>5</v>
      </c>
      <c r="B11" s="179"/>
      <c r="C11" s="179"/>
      <c r="D11" s="180"/>
      <c r="E11" s="167" t="s">
        <v>6</v>
      </c>
      <c r="F11" s="168"/>
      <c r="G11" s="168"/>
      <c r="H11" s="168"/>
      <c r="I11" s="168"/>
      <c r="J11" s="168"/>
      <c r="K11" s="163"/>
      <c r="L11" s="163"/>
      <c r="M11" s="163"/>
      <c r="N11" s="163"/>
      <c r="O11" s="163"/>
      <c r="P11" s="163"/>
      <c r="Q11" s="163"/>
      <c r="R11" s="163"/>
      <c r="S11" s="163"/>
      <c r="T11" s="163"/>
      <c r="U11" s="163"/>
      <c r="V11" s="163"/>
      <c r="W11" s="163"/>
      <c r="X11" s="163"/>
      <c r="Y11" s="163"/>
      <c r="Z11" s="163"/>
      <c r="AA11" s="163"/>
      <c r="AB11" s="163"/>
      <c r="AC11" s="163"/>
      <c r="AD11" s="163"/>
      <c r="AE11" s="164"/>
      <c r="AF11" s="157" t="s">
        <v>7</v>
      </c>
      <c r="AG11" s="158"/>
      <c r="AH11" s="158"/>
      <c r="AI11" s="158"/>
      <c r="AJ11" s="159"/>
    </row>
    <row r="12" spans="1:36" ht="22.15" customHeight="1">
      <c r="A12" s="142" t="s">
        <v>8</v>
      </c>
      <c r="B12" s="143"/>
      <c r="C12" s="143"/>
      <c r="D12" s="144"/>
      <c r="E12" s="37" t="s">
        <v>9</v>
      </c>
      <c r="F12" s="38"/>
      <c r="G12" s="38"/>
      <c r="H12" s="38"/>
      <c r="I12" s="38"/>
      <c r="J12" s="39"/>
      <c r="K12" s="172"/>
      <c r="L12" s="173"/>
      <c r="M12" s="173"/>
      <c r="N12" s="173"/>
      <c r="O12" s="173"/>
      <c r="P12" s="173"/>
      <c r="Q12" s="173"/>
      <c r="R12" s="173"/>
      <c r="S12" s="173"/>
      <c r="T12" s="173"/>
      <c r="U12" s="173"/>
      <c r="V12" s="173"/>
      <c r="W12" s="173"/>
      <c r="X12" s="173"/>
      <c r="Y12" s="173"/>
      <c r="Z12" s="173"/>
      <c r="AA12" s="173"/>
      <c r="AB12" s="173"/>
      <c r="AC12" s="174"/>
      <c r="AD12" s="40" t="s">
        <v>10</v>
      </c>
      <c r="AE12" s="41"/>
      <c r="AF12" s="151" t="s">
        <v>11</v>
      </c>
      <c r="AG12" s="152"/>
      <c r="AH12" s="152"/>
      <c r="AI12" s="152"/>
      <c r="AJ12" s="153"/>
    </row>
    <row r="13" spans="1:36" ht="40.15" customHeight="1">
      <c r="A13" s="145"/>
      <c r="B13" s="146"/>
      <c r="C13" s="146"/>
      <c r="D13" s="146"/>
      <c r="E13" s="42"/>
      <c r="F13" s="42"/>
      <c r="G13" s="42"/>
      <c r="H13" s="42"/>
      <c r="I13" s="42"/>
      <c r="J13" s="43"/>
      <c r="K13" s="175"/>
      <c r="L13" s="176"/>
      <c r="M13" s="176"/>
      <c r="N13" s="176"/>
      <c r="O13" s="176"/>
      <c r="P13" s="176"/>
      <c r="Q13" s="176"/>
      <c r="R13" s="176"/>
      <c r="S13" s="176"/>
      <c r="T13" s="176"/>
      <c r="U13" s="176"/>
      <c r="V13" s="176"/>
      <c r="W13" s="176"/>
      <c r="X13" s="176"/>
      <c r="Y13" s="176"/>
      <c r="Z13" s="176"/>
      <c r="AA13" s="176"/>
      <c r="AB13" s="176"/>
      <c r="AC13" s="177"/>
      <c r="AD13" s="165"/>
      <c r="AE13" s="166"/>
      <c r="AF13" s="154"/>
      <c r="AG13" s="155"/>
      <c r="AH13" s="155"/>
      <c r="AI13" s="155"/>
      <c r="AJ13" s="156"/>
    </row>
    <row r="14" spans="1:36" ht="27.6" customHeight="1">
      <c r="A14" s="228" t="s">
        <v>12</v>
      </c>
      <c r="B14" s="229"/>
      <c r="C14" s="229"/>
      <c r="D14" s="229"/>
      <c r="E14" s="229"/>
      <c r="F14" s="229"/>
      <c r="G14" s="229"/>
      <c r="H14" s="229"/>
      <c r="I14" s="230"/>
      <c r="J14" s="79" t="s">
        <v>13</v>
      </c>
      <c r="K14" s="176"/>
      <c r="L14" s="176"/>
      <c r="M14" s="176"/>
      <c r="N14" s="176"/>
      <c r="O14" s="176"/>
      <c r="P14" s="176"/>
      <c r="Q14" s="176"/>
      <c r="R14" s="176"/>
      <c r="S14" s="176"/>
      <c r="T14" s="176"/>
      <c r="U14" s="176"/>
      <c r="V14" s="176"/>
      <c r="W14" s="176"/>
      <c r="X14" s="176"/>
      <c r="Y14" s="176"/>
      <c r="Z14" s="176"/>
      <c r="AA14" s="176"/>
      <c r="AB14" s="176"/>
      <c r="AC14" s="176"/>
      <c r="AD14" s="176"/>
      <c r="AE14" s="177"/>
      <c r="AF14" s="181" t="s">
        <v>14</v>
      </c>
      <c r="AG14" s="182"/>
      <c r="AH14" s="182"/>
      <c r="AI14" s="182"/>
      <c r="AJ14" s="183"/>
    </row>
    <row r="15" spans="1:36" ht="34.9" hidden="1" customHeight="1">
      <c r="B15" s="44"/>
      <c r="C15" s="44"/>
      <c r="D15" s="45"/>
      <c r="E15" s="40"/>
      <c r="F15" s="46"/>
      <c r="G15" s="46"/>
      <c r="H15" s="46"/>
      <c r="I15" s="46"/>
      <c r="J15" s="41"/>
      <c r="K15" s="65"/>
      <c r="L15" s="66"/>
      <c r="M15" s="66"/>
      <c r="N15" s="66"/>
      <c r="O15" s="66"/>
      <c r="P15" s="66"/>
      <c r="Q15" s="66"/>
      <c r="R15" s="66"/>
      <c r="S15" s="66"/>
      <c r="T15" s="66"/>
      <c r="U15" s="66"/>
      <c r="V15" s="66"/>
      <c r="W15" s="66"/>
      <c r="X15" s="66"/>
      <c r="Y15" s="66"/>
      <c r="Z15" s="66"/>
      <c r="AA15" s="66"/>
      <c r="AB15" s="66"/>
      <c r="AC15" s="66"/>
      <c r="AD15" s="66"/>
      <c r="AE15" s="67"/>
      <c r="AF15" s="181"/>
      <c r="AG15" s="182"/>
      <c r="AH15" s="182"/>
      <c r="AI15" s="182"/>
      <c r="AJ15" s="183"/>
    </row>
    <row r="16" spans="1:36" ht="57.6" customHeight="1">
      <c r="A16" s="228" t="s">
        <v>15</v>
      </c>
      <c r="B16" s="229"/>
      <c r="C16" s="229"/>
      <c r="D16" s="230"/>
      <c r="E16" s="217" t="s">
        <v>16</v>
      </c>
      <c r="F16" s="218"/>
      <c r="G16" s="218"/>
      <c r="H16" s="218"/>
      <c r="I16" s="218"/>
      <c r="J16" s="219"/>
      <c r="K16" s="175"/>
      <c r="L16" s="215"/>
      <c r="M16" s="215"/>
      <c r="N16" s="215"/>
      <c r="O16" s="215"/>
      <c r="P16" s="215"/>
      <c r="Q16" s="215"/>
      <c r="R16" s="215"/>
      <c r="S16" s="215"/>
      <c r="T16" s="215"/>
      <c r="U16" s="215"/>
      <c r="V16" s="215"/>
      <c r="W16" s="215"/>
      <c r="X16" s="215"/>
      <c r="Y16" s="215"/>
      <c r="Z16" s="215"/>
      <c r="AA16" s="215"/>
      <c r="AB16" s="215"/>
      <c r="AC16" s="215"/>
      <c r="AD16" s="215"/>
      <c r="AE16" s="216"/>
      <c r="AF16" s="220" t="s">
        <v>17</v>
      </c>
      <c r="AG16" s="221"/>
      <c r="AH16" s="221"/>
      <c r="AI16" s="221"/>
      <c r="AJ16" s="222"/>
    </row>
    <row r="17" spans="1:36" ht="57.6" customHeight="1">
      <c r="A17" s="249"/>
      <c r="B17" s="250"/>
      <c r="C17" s="250"/>
      <c r="D17" s="251"/>
      <c r="E17" s="217" t="s">
        <v>18</v>
      </c>
      <c r="F17" s="218"/>
      <c r="G17" s="218"/>
      <c r="H17" s="218"/>
      <c r="I17" s="218"/>
      <c r="J17" s="219"/>
      <c r="K17" s="175"/>
      <c r="L17" s="215"/>
      <c r="M17" s="215"/>
      <c r="N17" s="215"/>
      <c r="O17" s="215"/>
      <c r="P17" s="215"/>
      <c r="Q17" s="215"/>
      <c r="R17" s="215"/>
      <c r="S17" s="215"/>
      <c r="T17" s="215"/>
      <c r="U17" s="215"/>
      <c r="V17" s="215"/>
      <c r="W17" s="215"/>
      <c r="X17" s="215"/>
      <c r="Y17" s="215"/>
      <c r="Z17" s="215"/>
      <c r="AA17" s="215"/>
      <c r="AB17" s="215"/>
      <c r="AC17" s="215"/>
      <c r="AD17" s="215"/>
      <c r="AE17" s="216"/>
      <c r="AF17" s="220" t="s">
        <v>19</v>
      </c>
      <c r="AG17" s="221"/>
      <c r="AH17" s="221"/>
      <c r="AI17" s="221"/>
      <c r="AJ17" s="222"/>
    </row>
    <row r="18" spans="1:36" ht="24.6" customHeight="1">
      <c r="A18" s="196" t="s">
        <v>20</v>
      </c>
      <c r="B18" s="197"/>
      <c r="C18" s="197"/>
      <c r="D18" s="197"/>
      <c r="E18" s="202" t="s">
        <v>21</v>
      </c>
      <c r="F18" s="203"/>
      <c r="G18" s="203"/>
      <c r="H18" s="203"/>
      <c r="I18" s="203"/>
      <c r="J18" s="204"/>
      <c r="K18" s="248"/>
      <c r="L18" s="176"/>
      <c r="M18" s="176"/>
      <c r="N18" s="176"/>
      <c r="O18" s="176"/>
      <c r="P18" s="176"/>
      <c r="Q18" s="176"/>
      <c r="R18" s="176"/>
      <c r="S18" s="176"/>
      <c r="T18" s="176"/>
      <c r="U18" s="176"/>
      <c r="V18" s="176"/>
      <c r="W18" s="176"/>
      <c r="X18" s="176"/>
      <c r="Y18" s="176"/>
      <c r="Z18" s="176"/>
      <c r="AA18" s="176"/>
      <c r="AB18" s="176"/>
      <c r="AC18" s="176"/>
      <c r="AD18" s="176"/>
      <c r="AE18" s="177"/>
      <c r="AF18" s="181" t="s">
        <v>22</v>
      </c>
      <c r="AG18" s="182"/>
      <c r="AH18" s="182"/>
      <c r="AI18" s="182"/>
      <c r="AJ18" s="183"/>
    </row>
    <row r="19" spans="1:36" ht="20.45" customHeight="1">
      <c r="A19" s="198"/>
      <c r="B19" s="199"/>
      <c r="C19" s="199"/>
      <c r="D19" s="199"/>
      <c r="E19" s="37" t="s">
        <v>23</v>
      </c>
      <c r="F19" s="47"/>
      <c r="G19" s="48"/>
      <c r="H19" s="47"/>
      <c r="I19" s="47"/>
      <c r="J19" s="49"/>
      <c r="K19" s="172"/>
      <c r="L19" s="173"/>
      <c r="M19" s="173"/>
      <c r="N19" s="173"/>
      <c r="O19" s="173"/>
      <c r="P19" s="173"/>
      <c r="Q19" s="173"/>
      <c r="R19" s="173"/>
      <c r="S19" s="173"/>
      <c r="T19" s="173"/>
      <c r="U19" s="173"/>
      <c r="V19" s="173"/>
      <c r="W19" s="173"/>
      <c r="X19" s="173"/>
      <c r="Y19" s="173"/>
      <c r="Z19" s="173"/>
      <c r="AA19" s="173"/>
      <c r="AB19" s="173"/>
      <c r="AC19" s="173"/>
      <c r="AD19" s="173"/>
      <c r="AE19" s="173"/>
      <c r="AF19" s="173"/>
      <c r="AG19" s="173"/>
      <c r="AH19" s="173"/>
      <c r="AI19" s="173"/>
      <c r="AJ19" s="238"/>
    </row>
    <row r="20" spans="1:36" ht="32.450000000000003" customHeight="1">
      <c r="A20" s="198"/>
      <c r="B20" s="199"/>
      <c r="C20" s="199"/>
      <c r="D20" s="199"/>
      <c r="E20" s="50" t="s">
        <v>24</v>
      </c>
      <c r="F20" s="51"/>
      <c r="G20" s="52"/>
      <c r="H20" s="52"/>
      <c r="I20" s="52"/>
      <c r="J20" s="53"/>
      <c r="K20" s="239"/>
      <c r="L20" s="240"/>
      <c r="M20" s="240"/>
      <c r="N20" s="240"/>
      <c r="O20" s="240"/>
      <c r="P20" s="240"/>
      <c r="Q20" s="240"/>
      <c r="R20" s="240"/>
      <c r="S20" s="240"/>
      <c r="T20" s="240"/>
      <c r="U20" s="240"/>
      <c r="V20" s="240"/>
      <c r="W20" s="240"/>
      <c r="X20" s="240"/>
      <c r="Y20" s="240"/>
      <c r="Z20" s="240"/>
      <c r="AA20" s="240"/>
      <c r="AB20" s="240"/>
      <c r="AC20" s="240"/>
      <c r="AD20" s="240"/>
      <c r="AE20" s="240"/>
      <c r="AF20" s="240"/>
      <c r="AG20" s="240"/>
      <c r="AH20" s="240"/>
      <c r="AI20" s="240"/>
      <c r="AJ20" s="241"/>
    </row>
    <row r="21" spans="1:36" ht="22.15" customHeight="1">
      <c r="A21" s="198"/>
      <c r="B21" s="199"/>
      <c r="C21" s="199"/>
      <c r="D21" s="199"/>
      <c r="E21" s="37" t="s">
        <v>9</v>
      </c>
      <c r="F21" s="47"/>
      <c r="G21" s="47"/>
      <c r="H21" s="47"/>
      <c r="I21" s="47"/>
      <c r="J21" s="49"/>
      <c r="K21" s="242"/>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4"/>
    </row>
    <row r="22" spans="1:36" ht="40.9" customHeight="1" thickBot="1">
      <c r="A22" s="200"/>
      <c r="B22" s="201"/>
      <c r="C22" s="201"/>
      <c r="D22" s="201"/>
      <c r="E22" s="54" t="s">
        <v>25</v>
      </c>
      <c r="F22" s="55"/>
      <c r="G22" s="55"/>
      <c r="H22" s="55"/>
      <c r="I22" s="55"/>
      <c r="J22" s="56"/>
      <c r="K22" s="245"/>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7"/>
    </row>
    <row r="23" spans="1:36">
      <c r="A23" s="57"/>
      <c r="B23" s="57"/>
      <c r="C23" s="57"/>
      <c r="D23" s="57"/>
      <c r="E23" s="57"/>
      <c r="F23" s="57"/>
      <c r="G23" s="57"/>
      <c r="H23" s="57"/>
      <c r="I23" s="57"/>
      <c r="J23" s="57"/>
      <c r="K23" s="236"/>
      <c r="L23" s="236"/>
      <c r="M23" s="236"/>
      <c r="N23" s="236"/>
      <c r="O23" s="236"/>
      <c r="P23" s="236"/>
      <c r="Q23" s="236"/>
      <c r="R23" s="236"/>
      <c r="S23" s="236"/>
      <c r="T23" s="236"/>
      <c r="U23" s="236"/>
      <c r="V23" s="236"/>
      <c r="W23" s="236"/>
      <c r="X23" s="236"/>
      <c r="Y23" s="236"/>
      <c r="Z23" s="236"/>
      <c r="AA23" s="236"/>
      <c r="AB23" s="236"/>
      <c r="AC23" s="236"/>
      <c r="AD23" s="236"/>
      <c r="AE23" s="236"/>
      <c r="AF23" s="236"/>
      <c r="AG23" s="236"/>
      <c r="AH23" s="236"/>
      <c r="AI23" s="236"/>
      <c r="AJ23" s="236"/>
    </row>
    <row r="24" spans="1:36" ht="21" customHeight="1" thickBot="1">
      <c r="A24" s="36" t="s">
        <v>26</v>
      </c>
      <c r="K24" s="237"/>
      <c r="L24" s="237"/>
      <c r="M24" s="237"/>
      <c r="N24" s="237"/>
      <c r="O24" s="237"/>
      <c r="P24" s="237"/>
      <c r="Q24" s="237"/>
      <c r="R24" s="237"/>
      <c r="S24" s="237"/>
      <c r="T24" s="237"/>
      <c r="U24" s="237"/>
      <c r="V24" s="237"/>
      <c r="W24" s="237"/>
      <c r="X24" s="237"/>
      <c r="Y24" s="237"/>
      <c r="Z24" s="237"/>
      <c r="AA24" s="237"/>
      <c r="AB24" s="237"/>
      <c r="AC24" s="237"/>
      <c r="AD24" s="237"/>
      <c r="AE24" s="237"/>
      <c r="AF24" s="237"/>
      <c r="AG24" s="237"/>
      <c r="AH24" s="237"/>
      <c r="AI24" s="237"/>
      <c r="AJ24" s="237"/>
    </row>
    <row r="25" spans="1:36" ht="54.6" customHeight="1">
      <c r="A25" s="223" t="s">
        <v>27</v>
      </c>
      <c r="B25" s="224"/>
      <c r="C25" s="224"/>
      <c r="D25" s="224"/>
      <c r="E25" s="224"/>
      <c r="F25" s="224"/>
      <c r="G25" s="224"/>
      <c r="H25" s="224"/>
      <c r="I25" s="224"/>
      <c r="J25" s="224"/>
      <c r="K25" s="225"/>
      <c r="L25" s="225"/>
      <c r="M25" s="225"/>
      <c r="N25" s="225"/>
      <c r="O25" s="225"/>
      <c r="P25" s="225"/>
      <c r="Q25" s="225"/>
      <c r="R25" s="225"/>
      <c r="S25" s="225"/>
      <c r="T25" s="225"/>
      <c r="U25" s="225"/>
      <c r="V25" s="225"/>
      <c r="W25" s="225"/>
      <c r="X25" s="225"/>
      <c r="Y25" s="225"/>
      <c r="Z25" s="225"/>
      <c r="AA25" s="225"/>
      <c r="AB25" s="225"/>
      <c r="AC25" s="226" t="s">
        <v>28</v>
      </c>
      <c r="AD25" s="226"/>
      <c r="AE25" s="226"/>
      <c r="AF25" s="226"/>
      <c r="AG25" s="226"/>
      <c r="AH25" s="226"/>
      <c r="AI25" s="226"/>
      <c r="AJ25" s="227"/>
    </row>
    <row r="26" spans="1:36" ht="54.6" customHeight="1" thickBot="1">
      <c r="A26" s="234" t="s">
        <v>29</v>
      </c>
      <c r="B26" s="235"/>
      <c r="C26" s="235"/>
      <c r="D26" s="235"/>
      <c r="E26" s="235"/>
      <c r="F26" s="235"/>
      <c r="G26" s="235"/>
      <c r="H26" s="235"/>
      <c r="I26" s="235"/>
      <c r="J26" s="235"/>
      <c r="K26" s="233"/>
      <c r="L26" s="233"/>
      <c r="M26" s="233"/>
      <c r="N26" s="233"/>
      <c r="O26" s="233"/>
      <c r="P26" s="233"/>
      <c r="Q26" s="233"/>
      <c r="R26" s="233"/>
      <c r="S26" s="233"/>
      <c r="T26" s="233"/>
      <c r="U26" s="233"/>
      <c r="V26" s="233"/>
      <c r="W26" s="233"/>
      <c r="X26" s="233"/>
      <c r="Y26" s="233"/>
      <c r="Z26" s="233"/>
      <c r="AA26" s="233"/>
      <c r="AB26" s="233"/>
      <c r="AC26" s="231" t="s">
        <v>219</v>
      </c>
      <c r="AD26" s="231"/>
      <c r="AE26" s="231"/>
      <c r="AF26" s="231"/>
      <c r="AG26" s="231"/>
      <c r="AH26" s="231"/>
      <c r="AI26" s="231"/>
      <c r="AJ26" s="232"/>
    </row>
    <row r="27" spans="1:36">
      <c r="A27" s="58"/>
      <c r="B27" s="58"/>
      <c r="C27" s="58"/>
      <c r="D27" s="58"/>
      <c r="E27" s="59"/>
      <c r="F27" s="59"/>
      <c r="G27" s="59"/>
      <c r="H27" s="59"/>
      <c r="I27" s="59"/>
      <c r="J27" s="59"/>
      <c r="K27" s="59"/>
      <c r="L27" s="59"/>
      <c r="M27" s="59"/>
      <c r="N27" s="59"/>
      <c r="O27" s="59"/>
      <c r="P27" s="59"/>
      <c r="Q27" s="59"/>
      <c r="R27" s="59"/>
      <c r="S27" s="59"/>
      <c r="T27" s="59"/>
      <c r="U27" s="59"/>
      <c r="V27" s="59"/>
      <c r="W27" s="59"/>
      <c r="X27" s="59"/>
      <c r="Y27" s="59"/>
      <c r="Z27" s="59"/>
      <c r="AA27" s="59"/>
      <c r="AB27" s="59"/>
      <c r="AC27" s="60"/>
      <c r="AD27" s="60"/>
      <c r="AE27" s="60"/>
      <c r="AF27" s="60"/>
      <c r="AG27" s="60"/>
      <c r="AH27" s="60"/>
      <c r="AI27" s="60"/>
      <c r="AJ27" s="60"/>
    </row>
    <row r="28" spans="1:36" ht="15" customHeight="1"/>
    <row r="29" spans="1:36" ht="100.15" customHeight="1"/>
    <row r="30" spans="1:36" ht="28.9" customHeight="1">
      <c r="G30" s="61"/>
    </row>
    <row r="31" spans="1:36" ht="28.9" customHeight="1">
      <c r="G31" s="61"/>
    </row>
    <row r="32" spans="1:36" ht="28.9" customHeight="1">
      <c r="G32" s="61"/>
    </row>
    <row r="33" spans="1:28">
      <c r="A33" s="61"/>
    </row>
    <row r="34" spans="1:28">
      <c r="A34" s="61"/>
    </row>
    <row r="35" spans="1:28">
      <c r="A35" s="61"/>
    </row>
    <row r="37" spans="1:28">
      <c r="A37" s="30" t="s">
        <v>31</v>
      </c>
    </row>
    <row r="38" spans="1:28" ht="13.15" customHeight="1">
      <c r="A38" s="212" t="s">
        <v>32</v>
      </c>
      <c r="B38" s="212"/>
      <c r="C38" s="62"/>
      <c r="D38" s="63"/>
      <c r="E38" s="133" t="s">
        <v>33</v>
      </c>
      <c r="F38" s="134"/>
      <c r="G38" s="134"/>
      <c r="H38" s="134"/>
      <c r="I38" s="134"/>
      <c r="J38" s="134"/>
      <c r="K38" s="134"/>
      <c r="L38" s="135"/>
      <c r="M38" s="206"/>
      <c r="N38" s="207"/>
      <c r="O38" s="207"/>
      <c r="P38" s="207"/>
      <c r="Q38" s="207"/>
      <c r="R38" s="207"/>
      <c r="S38" s="207"/>
      <c r="T38" s="207"/>
      <c r="U38" s="207"/>
      <c r="V38" s="207"/>
      <c r="W38" s="207"/>
      <c r="X38" s="207"/>
      <c r="Y38" s="207"/>
      <c r="Z38" s="207"/>
      <c r="AA38" s="207"/>
      <c r="AB38" s="208"/>
    </row>
    <row r="39" spans="1:28" ht="13.15" customHeight="1">
      <c r="A39" s="213"/>
      <c r="B39" s="213"/>
      <c r="C39" s="36"/>
      <c r="D39" s="64"/>
      <c r="E39" s="136"/>
      <c r="F39" s="137"/>
      <c r="G39" s="137"/>
      <c r="H39" s="137"/>
      <c r="I39" s="137"/>
      <c r="J39" s="137"/>
      <c r="K39" s="137"/>
      <c r="L39" s="138"/>
      <c r="M39" s="209"/>
      <c r="N39" s="210"/>
      <c r="O39" s="210"/>
      <c r="P39" s="210"/>
      <c r="Q39" s="210"/>
      <c r="R39" s="210"/>
      <c r="S39" s="210"/>
      <c r="T39" s="210"/>
      <c r="U39" s="210"/>
      <c r="V39" s="210"/>
      <c r="W39" s="210"/>
      <c r="X39" s="210"/>
      <c r="Y39" s="210"/>
      <c r="Z39" s="210"/>
      <c r="AA39" s="210"/>
      <c r="AB39" s="211"/>
    </row>
    <row r="40" spans="1:28" ht="13.5" customHeight="1">
      <c r="A40" s="213"/>
      <c r="B40" s="213"/>
      <c r="C40" s="36"/>
      <c r="D40" s="64"/>
      <c r="E40" s="133" t="s">
        <v>34</v>
      </c>
      <c r="F40" s="134"/>
      <c r="G40" s="134"/>
      <c r="H40" s="134"/>
      <c r="I40" s="134"/>
      <c r="J40" s="134"/>
      <c r="K40" s="134"/>
      <c r="L40" s="135"/>
      <c r="M40" s="205"/>
      <c r="N40" s="185"/>
      <c r="O40" s="185"/>
      <c r="P40" s="185"/>
      <c r="Q40" s="185"/>
      <c r="R40" s="185"/>
      <c r="S40" s="185"/>
      <c r="T40" s="185"/>
      <c r="U40" s="185"/>
      <c r="V40" s="185"/>
      <c r="W40" s="185"/>
      <c r="X40" s="185"/>
      <c r="Y40" s="185"/>
      <c r="Z40" s="185"/>
      <c r="AA40" s="185"/>
      <c r="AB40" s="186"/>
    </row>
    <row r="41" spans="1:28" ht="13.15" customHeight="1">
      <c r="A41" s="213"/>
      <c r="B41" s="213"/>
      <c r="C41" s="36"/>
      <c r="D41" s="64"/>
      <c r="E41" s="136"/>
      <c r="F41" s="137"/>
      <c r="G41" s="137"/>
      <c r="H41" s="137"/>
      <c r="I41" s="137"/>
      <c r="J41" s="137"/>
      <c r="K41" s="137"/>
      <c r="L41" s="138"/>
      <c r="M41" s="187"/>
      <c r="N41" s="188"/>
      <c r="O41" s="188"/>
      <c r="P41" s="188"/>
      <c r="Q41" s="188"/>
      <c r="R41" s="188"/>
      <c r="S41" s="188"/>
      <c r="T41" s="188"/>
      <c r="U41" s="188"/>
      <c r="V41" s="188"/>
      <c r="W41" s="188"/>
      <c r="X41" s="188"/>
      <c r="Y41" s="188"/>
      <c r="Z41" s="188"/>
      <c r="AA41" s="188"/>
      <c r="AB41" s="189"/>
    </row>
    <row r="42" spans="1:28" ht="13.15" customHeight="1">
      <c r="A42" s="213"/>
      <c r="B42" s="213"/>
      <c r="C42" s="190" t="s">
        <v>35</v>
      </c>
      <c r="D42" s="191"/>
      <c r="E42" s="133" t="s">
        <v>36</v>
      </c>
      <c r="F42" s="134"/>
      <c r="G42" s="134"/>
      <c r="H42" s="134"/>
      <c r="I42" s="134"/>
      <c r="J42" s="134"/>
      <c r="K42" s="134"/>
      <c r="L42" s="135"/>
      <c r="M42" s="205"/>
      <c r="N42" s="185"/>
      <c r="O42" s="185"/>
      <c r="P42" s="185"/>
      <c r="Q42" s="185"/>
      <c r="R42" s="185"/>
      <c r="S42" s="185"/>
      <c r="T42" s="185"/>
      <c r="U42" s="185"/>
      <c r="V42" s="185"/>
      <c r="W42" s="185"/>
      <c r="X42" s="185"/>
      <c r="Y42" s="185"/>
      <c r="Z42" s="185"/>
      <c r="AA42" s="185"/>
      <c r="AB42" s="186"/>
    </row>
    <row r="43" spans="1:28" ht="13.15" customHeight="1">
      <c r="A43" s="213"/>
      <c r="B43" s="213"/>
      <c r="C43" s="192"/>
      <c r="D43" s="193"/>
      <c r="E43" s="136"/>
      <c r="F43" s="137"/>
      <c r="G43" s="137"/>
      <c r="H43" s="137"/>
      <c r="I43" s="137"/>
      <c r="J43" s="137"/>
      <c r="K43" s="137"/>
      <c r="L43" s="138"/>
      <c r="M43" s="187"/>
      <c r="N43" s="188"/>
      <c r="O43" s="188"/>
      <c r="P43" s="188"/>
      <c r="Q43" s="188"/>
      <c r="R43" s="188"/>
      <c r="S43" s="188"/>
      <c r="T43" s="188"/>
      <c r="U43" s="188"/>
      <c r="V43" s="188"/>
      <c r="W43" s="188"/>
      <c r="X43" s="188"/>
      <c r="Y43" s="188"/>
      <c r="Z43" s="188"/>
      <c r="AA43" s="188"/>
      <c r="AB43" s="189"/>
    </row>
    <row r="44" spans="1:28" ht="13.15" customHeight="1">
      <c r="A44" s="213"/>
      <c r="B44" s="213"/>
      <c r="C44" s="192"/>
      <c r="D44" s="193"/>
      <c r="E44" s="133" t="s">
        <v>37</v>
      </c>
      <c r="F44" s="134"/>
      <c r="G44" s="134"/>
      <c r="H44" s="134"/>
      <c r="I44" s="134"/>
      <c r="J44" s="134"/>
      <c r="K44" s="134"/>
      <c r="L44" s="135"/>
      <c r="M44" s="205"/>
      <c r="N44" s="185"/>
      <c r="O44" s="185"/>
      <c r="P44" s="185"/>
      <c r="Q44" s="185"/>
      <c r="R44" s="185"/>
      <c r="S44" s="185"/>
      <c r="T44" s="185"/>
      <c r="U44" s="185"/>
      <c r="V44" s="185"/>
      <c r="W44" s="185"/>
      <c r="X44" s="185"/>
      <c r="Y44" s="185"/>
      <c r="Z44" s="185"/>
      <c r="AA44" s="185"/>
      <c r="AB44" s="186"/>
    </row>
    <row r="45" spans="1:28" ht="13.15" customHeight="1">
      <c r="A45" s="213"/>
      <c r="B45" s="213"/>
      <c r="C45" s="192"/>
      <c r="D45" s="193"/>
      <c r="E45" s="136"/>
      <c r="F45" s="137"/>
      <c r="G45" s="137"/>
      <c r="H45" s="137"/>
      <c r="I45" s="137"/>
      <c r="J45" s="137"/>
      <c r="K45" s="137"/>
      <c r="L45" s="138"/>
      <c r="M45" s="187"/>
      <c r="N45" s="188"/>
      <c r="O45" s="188"/>
      <c r="P45" s="188"/>
      <c r="Q45" s="188"/>
      <c r="R45" s="188"/>
      <c r="S45" s="188"/>
      <c r="T45" s="188"/>
      <c r="U45" s="188"/>
      <c r="V45" s="188"/>
      <c r="W45" s="188"/>
      <c r="X45" s="188"/>
      <c r="Y45" s="188"/>
      <c r="Z45" s="188"/>
      <c r="AA45" s="188"/>
      <c r="AB45" s="189"/>
    </row>
    <row r="46" spans="1:28" ht="13.15" customHeight="1">
      <c r="A46" s="213"/>
      <c r="B46" s="213"/>
      <c r="C46" s="192"/>
      <c r="D46" s="193"/>
      <c r="E46" s="133" t="s">
        <v>38</v>
      </c>
      <c r="F46" s="134"/>
      <c r="G46" s="134"/>
      <c r="H46" s="134"/>
      <c r="I46" s="134"/>
      <c r="J46" s="134"/>
      <c r="K46" s="134"/>
      <c r="L46" s="135"/>
      <c r="M46" s="205"/>
      <c r="N46" s="185"/>
      <c r="O46" s="185"/>
      <c r="P46" s="185"/>
      <c r="Q46" s="185"/>
      <c r="R46" s="185"/>
      <c r="S46" s="185"/>
      <c r="T46" s="185"/>
      <c r="U46" s="185"/>
      <c r="V46" s="185"/>
      <c r="W46" s="185"/>
      <c r="X46" s="185"/>
      <c r="Y46" s="185"/>
      <c r="Z46" s="185"/>
      <c r="AA46" s="185"/>
      <c r="AB46" s="186"/>
    </row>
    <row r="47" spans="1:28" ht="13.15" customHeight="1">
      <c r="A47" s="213"/>
      <c r="B47" s="213"/>
      <c r="C47" s="192"/>
      <c r="D47" s="193"/>
      <c r="E47" s="136"/>
      <c r="F47" s="137"/>
      <c r="G47" s="137"/>
      <c r="H47" s="137"/>
      <c r="I47" s="137"/>
      <c r="J47" s="137"/>
      <c r="K47" s="137"/>
      <c r="L47" s="138"/>
      <c r="M47" s="187"/>
      <c r="N47" s="188"/>
      <c r="O47" s="188"/>
      <c r="P47" s="188"/>
      <c r="Q47" s="188"/>
      <c r="R47" s="188"/>
      <c r="S47" s="188"/>
      <c r="T47" s="188"/>
      <c r="U47" s="188"/>
      <c r="V47" s="188"/>
      <c r="W47" s="188"/>
      <c r="X47" s="188"/>
      <c r="Y47" s="188"/>
      <c r="Z47" s="188"/>
      <c r="AA47" s="188"/>
      <c r="AB47" s="189"/>
    </row>
    <row r="48" spans="1:28" ht="13.15" customHeight="1">
      <c r="A48" s="213"/>
      <c r="B48" s="213"/>
      <c r="C48" s="192"/>
      <c r="D48" s="193"/>
      <c r="E48" s="133" t="s">
        <v>39</v>
      </c>
      <c r="F48" s="134"/>
      <c r="G48" s="134"/>
      <c r="H48" s="134"/>
      <c r="I48" s="134"/>
      <c r="J48" s="134"/>
      <c r="K48" s="134"/>
      <c r="L48" s="135"/>
      <c r="M48" s="184"/>
      <c r="N48" s="185"/>
      <c r="O48" s="185"/>
      <c r="P48" s="185"/>
      <c r="Q48" s="185"/>
      <c r="R48" s="185"/>
      <c r="S48" s="185"/>
      <c r="T48" s="185"/>
      <c r="U48" s="185"/>
      <c r="V48" s="185"/>
      <c r="W48" s="185"/>
      <c r="X48" s="185"/>
      <c r="Y48" s="185"/>
      <c r="Z48" s="185"/>
      <c r="AA48" s="185"/>
      <c r="AB48" s="186"/>
    </row>
    <row r="49" spans="1:28" ht="13.15" customHeight="1">
      <c r="A49" s="214"/>
      <c r="B49" s="214"/>
      <c r="C49" s="194"/>
      <c r="D49" s="195"/>
      <c r="E49" s="136"/>
      <c r="F49" s="137"/>
      <c r="G49" s="137"/>
      <c r="H49" s="137"/>
      <c r="I49" s="137"/>
      <c r="J49" s="137"/>
      <c r="K49" s="137"/>
      <c r="L49" s="138"/>
      <c r="M49" s="187"/>
      <c r="N49" s="188"/>
      <c r="O49" s="188"/>
      <c r="P49" s="188"/>
      <c r="Q49" s="188"/>
      <c r="R49" s="188"/>
      <c r="S49" s="188"/>
      <c r="T49" s="188"/>
      <c r="U49" s="188"/>
      <c r="V49" s="188"/>
      <c r="W49" s="188"/>
      <c r="X49" s="188"/>
      <c r="Y49" s="188"/>
      <c r="Z49" s="188"/>
      <c r="AA49" s="188"/>
      <c r="AB49" s="189"/>
    </row>
  </sheetData>
  <sheetProtection algorithmName="SHA-512" hashValue="WKENtdAxTAEGjQMFcaniMazJk7C1Q2UjwNPaOIOFMXJWGtFU9UA2kW4ZaHJGYfIPnjk46KwUe4VfJXm9tx2amg==" saltValue="TJkc3sZVIXCJartfUpeX5w==" spinCount="100000" sheet="1" selectLockedCells="1"/>
  <mergeCells count="55">
    <mergeCell ref="A25:J25"/>
    <mergeCell ref="K25:AB25"/>
    <mergeCell ref="AC25:AJ25"/>
    <mergeCell ref="A14:I14"/>
    <mergeCell ref="AC26:AJ26"/>
    <mergeCell ref="K26:AB26"/>
    <mergeCell ref="A26:J26"/>
    <mergeCell ref="K23:AJ24"/>
    <mergeCell ref="K19:AJ19"/>
    <mergeCell ref="K20:AJ20"/>
    <mergeCell ref="K21:AJ21"/>
    <mergeCell ref="K22:AJ22"/>
    <mergeCell ref="AF18:AJ18"/>
    <mergeCell ref="K18:AE18"/>
    <mergeCell ref="A16:D17"/>
    <mergeCell ref="K14:AE14"/>
    <mergeCell ref="K16:AE16"/>
    <mergeCell ref="K17:AE17"/>
    <mergeCell ref="E16:J16"/>
    <mergeCell ref="AF17:AJ17"/>
    <mergeCell ref="AF15:AJ15"/>
    <mergeCell ref="AF16:AJ16"/>
    <mergeCell ref="E17:J17"/>
    <mergeCell ref="AF14:AJ14"/>
    <mergeCell ref="M48:AB49"/>
    <mergeCell ref="C42:D49"/>
    <mergeCell ref="A18:D22"/>
    <mergeCell ref="E40:L41"/>
    <mergeCell ref="E18:J18"/>
    <mergeCell ref="M40:AB41"/>
    <mergeCell ref="E38:L39"/>
    <mergeCell ref="M38:AB39"/>
    <mergeCell ref="A38:B49"/>
    <mergeCell ref="E42:L43"/>
    <mergeCell ref="M42:AB43"/>
    <mergeCell ref="E44:L45"/>
    <mergeCell ref="M44:AB45"/>
    <mergeCell ref="E46:L47"/>
    <mergeCell ref="M46:AB47"/>
    <mergeCell ref="E48:L49"/>
    <mergeCell ref="AF5:AG5"/>
    <mergeCell ref="A1:AE2"/>
    <mergeCell ref="A12:D13"/>
    <mergeCell ref="A6:AD6"/>
    <mergeCell ref="AF10:AJ10"/>
    <mergeCell ref="AF12:AJ13"/>
    <mergeCell ref="AF11:AJ11"/>
    <mergeCell ref="K10:AE10"/>
    <mergeCell ref="K11:AE11"/>
    <mergeCell ref="AD13:AE13"/>
    <mergeCell ref="E11:J11"/>
    <mergeCell ref="A10:J10"/>
    <mergeCell ref="K12:AC12"/>
    <mergeCell ref="K13:AC13"/>
    <mergeCell ref="A11:D11"/>
  </mergeCells>
  <phoneticPr fontId="1"/>
  <dataValidations count="16">
    <dataValidation type="custom" imeMode="fullKatakana" allowBlank="1" showInputMessage="1" showErrorMessage="1" error="全角カタカナ40文字以内で記入ください" sqref="K21:AJ21" xr:uid="{68E7B11D-4E5C-410B-BFAF-6912E7980D0A}">
      <formula1>LENB(K21)&lt;=80=AND(PHONETIC(K21)=K21,LENB(K21)&lt;=80)</formula1>
    </dataValidation>
    <dataValidation type="date" imeMode="disabled" operator="greaterThanOrEqual" allowBlank="1" showInputMessage="1" showErrorMessage="1" errorTitle="年月日を入れてください" error="2023/10/25 の形で入力ください" sqref="K10:AE10" xr:uid="{017EF660-ACA5-470E-AC5C-42C83E42D5F1}">
      <formula1>44927</formula1>
    </dataValidation>
    <dataValidation type="custom" imeMode="off" allowBlank="1" showInputMessage="1" showErrorMessage="1" error=" 郵便番号を記載ください。ハイフン不要です。" sqref="J14" xr:uid="{15ACC3C3-33ED-4855-B154-FCE517BD8DD8}">
      <formula1>OR((LEN(J14)=7),(LEN(J14)=8))</formula1>
    </dataValidation>
    <dataValidation imeMode="hiragana" allowBlank="1" showInputMessage="1" showErrorMessage="1" sqref="M40:AB47" xr:uid="{8F988FFE-F928-4216-B044-7F31FF29330F}"/>
    <dataValidation type="custom" imeMode="disabled" allowBlank="1" showInputMessage="1" showErrorMessage="1" errorTitle="7桁の数字（半角）" error="BSの後ろの7桁の数字（半角）をご記入ください" sqref="K11:AE11" xr:uid="{5F98A90F-5111-4DD2-A99D-5CD4123104E1}">
      <formula1>AND((LEN(K11)=7),(ISNUMBER(VALUE(K11))))</formula1>
    </dataValidation>
    <dataValidation imeMode="halfAlpha" allowBlank="1" showInputMessage="1" showErrorMessage="1" sqref="M48:AB49" xr:uid="{5B1D9BCE-FF09-406D-A1B1-2BCCC256E4EC}"/>
    <dataValidation type="custom" imeMode="disabled" allowBlank="1" showInputMessage="1" showErrorMessage="1" error=" 郵便番号を記載ください。ハイフン不要です。" sqref="K14:AE14" xr:uid="{A8B500F2-A947-418E-A1DF-0D280D9EC3E0}">
      <formula1>AND((LEN(K14)=7),(ISNUMBER(VALUE(K14))))</formula1>
    </dataValidation>
    <dataValidation type="custom" imeMode="disabled" allowBlank="1" showInputMessage="1" showErrorMessage="1" errorTitle="電話番号を記載ください" error="ハイフンは不要です。数字のみ記入ください" sqref="K18:AE18" xr:uid="{31E59F32-B794-41A6-A670-C7531FF95DC7}">
      <formula1>AND((OR((LEN(K18)=10),(LEN(K18)=11))),(ISNUMBER(VALUE(K18))))</formula1>
    </dataValidation>
    <dataValidation type="list" showInputMessage="1" showErrorMessage="1" errorTitle="必須" error="csvか固定長のどちらかを選択してください（エクセル利用の場合はcsv）" sqref="K25:AB25" xr:uid="{62AEB929-9B8E-40E5-82E9-5D7CD21F64C0}">
      <formula1>"変更しない,スタンダード,ダウンロード"</formula1>
    </dataValidation>
    <dataValidation type="list" allowBlank="1" showInputMessage="1" showErrorMessage="1" errorTitle="必須" error="csvか固定長のどちらかを選択してください（エクセル利用の場合はcsv）" sqref="K26:AB26" xr:uid="{44672EF7-9828-4A12-B9DE-BE7B876AD8A4}">
      <formula1>"csv,固定長"</formula1>
    </dataValidation>
    <dataValidation type="custom" imeMode="hiragana" allowBlank="1" showInputMessage="1" showErrorMessage="1" error="全角カタカナ80文字以内で記入ください" sqref="K19:AJ19" xr:uid="{4EA5987A-A48A-417B-983A-F2EE36756421}">
      <formula1>AND(PHONETIC(K19)=K19,LENB(K19)&lt;=160)</formula1>
    </dataValidation>
    <dataValidation type="custom" imeMode="hiragana" allowBlank="1" showInputMessage="1" showErrorMessage="1" error="40文字以内で記入ください" sqref="K13:AC13 K17:AE17" xr:uid="{A9AD9F5A-4EC0-4073-B62B-781964AF352A}">
      <formula1>LENB(K13)&lt;=80</formula1>
    </dataValidation>
    <dataValidation type="custom" imeMode="hiragana" allowBlank="1" showInputMessage="1" showErrorMessage="1" error="128文字以内で記入ください" sqref="K16:AE16" xr:uid="{99C90817-5753-493B-85F9-F3BDD07C54E7}">
      <formula1>LENB(K16)&lt;=256</formula1>
    </dataValidation>
    <dataValidation type="custom" imeMode="hiragana" allowBlank="1" showInputMessage="1" showErrorMessage="1" error="全角カタカナ40文字以内で記入ください" sqref="K20:AJ20" xr:uid="{1B95E698-55AD-4E61-AAF0-AE02AD2D0AF5}">
      <formula1>LENB(K21)&lt;=80</formula1>
    </dataValidation>
    <dataValidation type="custom" imeMode="hiragana" allowBlank="1" showInputMessage="1" showErrorMessage="1" error="20文字以内で記入ください" sqref="K22:AJ22" xr:uid="{6638B676-26C1-4EAC-9AD6-3E4F0A029392}">
      <formula1>LENB(K22)&lt;=40</formula1>
    </dataValidation>
    <dataValidation type="custom" imeMode="fullKatakana" allowBlank="1" showInputMessage="1" showErrorMessage="1" error="全角カタカナ80文字以内で記入ください" sqref="K12:AC12" xr:uid="{3ADF6366-F7A3-4349-8262-B142CE047999}">
      <formula1>LENB(K12)&lt;=160=AND(PHONETIC(K12)=K12,LENB(K12)&lt;=160)</formula1>
    </dataValidation>
  </dataValidations>
  <printOptions horizontalCentered="1"/>
  <pageMargins left="0.19685039370078741" right="0.15748031496062992" top="0.27559055118110237" bottom="0.35433070866141736" header="0.15748031496062992" footer="0.15748031496062992"/>
  <pageSetup paperSize="9" scale="62" orientation="portrait" r:id="rId1"/>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E05A8F2-1AB0-4DA3-BEE1-B21CCBD2D749}">
          <x14:formula1>
            <xm:f>'選択肢（隠す）変更'!$A$14:$A$15</xm:f>
          </x14:formula1>
          <xm:sqref>AD13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663F2-AFFF-4BF5-BDE9-256B650AF09C}">
  <sheetPr>
    <tabColor rgb="FFFFFF00"/>
  </sheetPr>
  <dimension ref="A1:Q512"/>
  <sheetViews>
    <sheetView zoomScale="80" zoomScaleNormal="80" workbookViewId="0">
      <selection activeCell="C13" sqref="C13"/>
    </sheetView>
  </sheetViews>
  <sheetFormatPr defaultColWidth="11" defaultRowHeight="16.5"/>
  <cols>
    <col min="1" max="1" width="6.25" style="12" customWidth="1"/>
    <col min="2" max="2" width="9.125" style="12" bestFit="1" customWidth="1"/>
    <col min="3" max="3" width="9.125" style="12" customWidth="1"/>
    <col min="4" max="4" width="9.375" style="12" hidden="1" customWidth="1"/>
    <col min="5" max="5" width="23.375" style="12" customWidth="1"/>
    <col min="6" max="6" width="24.375" style="90" customWidth="1"/>
    <col min="7" max="7" width="22.375" style="12" customWidth="1"/>
    <col min="8" max="8" width="19.375" style="12" hidden="1" customWidth="1"/>
    <col min="9" max="9" width="15" style="12" hidden="1" customWidth="1"/>
    <col min="10" max="10" width="22.75" style="12" hidden="1" customWidth="1"/>
    <col min="11" max="11" width="10.375" style="12" hidden="1" customWidth="1"/>
    <col min="12" max="12" width="19.375" style="12" hidden="1" customWidth="1"/>
    <col min="13" max="13" width="11" style="12" hidden="1" customWidth="1"/>
    <col min="14" max="16384" width="11" style="12"/>
  </cols>
  <sheetData>
    <row r="1" spans="1:17" ht="24.75">
      <c r="A1" s="11" t="s">
        <v>40</v>
      </c>
    </row>
    <row r="2" spans="1:17" ht="69.599999999999994" customHeight="1">
      <c r="A2" s="80"/>
      <c r="B2" s="80"/>
      <c r="E2" s="252" t="s">
        <v>41</v>
      </c>
      <c r="F2" s="252"/>
      <c r="G2" s="252"/>
      <c r="H2" s="252"/>
      <c r="I2" s="252"/>
      <c r="J2" s="252"/>
      <c r="K2" s="252"/>
      <c r="L2" s="252"/>
      <c r="M2" s="252"/>
      <c r="N2" s="252"/>
      <c r="O2" s="252"/>
      <c r="P2" s="252"/>
      <c r="Q2" s="252"/>
    </row>
    <row r="3" spans="1:17" ht="28.9" customHeight="1">
      <c r="A3" s="11"/>
      <c r="E3" s="13" t="s">
        <v>42</v>
      </c>
    </row>
    <row r="4" spans="1:17" ht="30" customHeight="1">
      <c r="A4" s="11"/>
      <c r="E4" s="253" t="s">
        <v>43</v>
      </c>
      <c r="F4" s="253"/>
      <c r="G4" s="253"/>
      <c r="H4" s="253"/>
      <c r="I4" s="253"/>
      <c r="J4" s="253"/>
      <c r="K4" s="253"/>
      <c r="L4" s="253"/>
      <c r="M4" s="253"/>
      <c r="N4" s="253"/>
      <c r="O4" s="253"/>
      <c r="P4" s="253"/>
      <c r="Q4" s="253"/>
    </row>
    <row r="5" spans="1:17" ht="28.9" customHeight="1">
      <c r="A5" s="11"/>
      <c r="E5" s="129" t="s">
        <v>44</v>
      </c>
      <c r="F5" s="130"/>
      <c r="G5" s="131"/>
      <c r="H5" s="131"/>
      <c r="I5" s="131"/>
      <c r="J5" s="131"/>
      <c r="K5" s="131"/>
      <c r="L5" s="131"/>
      <c r="M5" s="131"/>
      <c r="N5" s="131"/>
    </row>
    <row r="6" spans="1:17" ht="30" customHeight="1" thickBot="1">
      <c r="A6" s="11"/>
      <c r="C6" s="13"/>
      <c r="E6" s="13" t="s">
        <v>45</v>
      </c>
    </row>
    <row r="7" spans="1:17" ht="30" customHeight="1" thickBot="1">
      <c r="C7" s="260" t="s">
        <v>46</v>
      </c>
      <c r="D7" s="261"/>
      <c r="E7" s="261"/>
      <c r="F7" s="261"/>
      <c r="G7" s="262"/>
      <c r="H7" s="260" t="s">
        <v>47</v>
      </c>
      <c r="I7" s="261"/>
      <c r="J7" s="261"/>
      <c r="K7" s="261"/>
      <c r="L7" s="262"/>
      <c r="M7" s="12" t="s">
        <v>48</v>
      </c>
    </row>
    <row r="8" spans="1:17" ht="155.44999999999999" customHeight="1">
      <c r="B8" s="14" t="s">
        <v>49</v>
      </c>
      <c r="C8" s="28" t="s">
        <v>50</v>
      </c>
      <c r="D8" s="14" t="s">
        <v>51</v>
      </c>
      <c r="E8" s="16" t="s">
        <v>52</v>
      </c>
      <c r="F8" s="81"/>
      <c r="G8" s="15" t="s">
        <v>53</v>
      </c>
      <c r="H8" s="256" t="s">
        <v>54</v>
      </c>
      <c r="I8" s="257"/>
      <c r="J8" s="16" t="s">
        <v>55</v>
      </c>
      <c r="K8" s="254" t="s">
        <v>56</v>
      </c>
      <c r="L8" s="255"/>
    </row>
    <row r="9" spans="1:17" s="17" customFormat="1" ht="54" customHeight="1" thickBot="1">
      <c r="B9" s="18" t="s">
        <v>57</v>
      </c>
      <c r="C9" s="29" t="s">
        <v>58</v>
      </c>
      <c r="D9" s="19" t="s">
        <v>59</v>
      </c>
      <c r="E9" s="89" t="s">
        <v>60</v>
      </c>
      <c r="F9" s="88" t="s">
        <v>61</v>
      </c>
      <c r="G9" s="18"/>
      <c r="H9" s="258" t="s">
        <v>62</v>
      </c>
      <c r="I9" s="259"/>
      <c r="J9" s="20" t="s">
        <v>63</v>
      </c>
      <c r="K9" s="21" t="s">
        <v>64</v>
      </c>
      <c r="L9" s="22" t="s">
        <v>65</v>
      </c>
      <c r="M9" s="12" t="s">
        <v>66</v>
      </c>
      <c r="N9" s="12"/>
      <c r="O9" s="12"/>
    </row>
    <row r="10" spans="1:17" s="17" customFormat="1" ht="21.6" customHeight="1">
      <c r="B10" s="23" t="s">
        <v>67</v>
      </c>
      <c r="C10" s="74" t="s">
        <v>68</v>
      </c>
      <c r="D10" s="24">
        <v>1</v>
      </c>
      <c r="E10" s="82" t="s">
        <v>69</v>
      </c>
      <c r="F10" s="91"/>
      <c r="G10" s="72"/>
      <c r="H10" s="95" t="s">
        <v>70</v>
      </c>
      <c r="I10" s="96">
        <v>12345</v>
      </c>
      <c r="J10" s="97" t="s">
        <v>71</v>
      </c>
      <c r="K10" s="98"/>
      <c r="L10" s="99"/>
      <c r="M10" s="12"/>
      <c r="N10" s="12"/>
      <c r="O10" s="12"/>
    </row>
    <row r="11" spans="1:17" s="17" customFormat="1" ht="21.6" customHeight="1">
      <c r="B11" s="25" t="s">
        <v>72</v>
      </c>
      <c r="C11" s="74" t="s">
        <v>68</v>
      </c>
      <c r="D11" s="24">
        <v>2</v>
      </c>
      <c r="E11" s="83" t="s">
        <v>73</v>
      </c>
      <c r="F11" s="92"/>
      <c r="G11" s="73"/>
      <c r="H11" s="95"/>
      <c r="I11" s="96"/>
      <c r="J11" s="97"/>
      <c r="K11" s="98" t="s">
        <v>74</v>
      </c>
      <c r="L11" s="100"/>
      <c r="M11" s="12"/>
      <c r="N11" s="12"/>
      <c r="O11" s="12"/>
    </row>
    <row r="12" spans="1:17" s="17" customFormat="1" ht="21.6" customHeight="1">
      <c r="B12" s="25" t="s">
        <v>75</v>
      </c>
      <c r="C12" s="74" t="s">
        <v>68</v>
      </c>
      <c r="D12" s="24">
        <v>3</v>
      </c>
      <c r="E12" s="83" t="s">
        <v>76</v>
      </c>
      <c r="F12" s="92"/>
      <c r="G12" s="73"/>
      <c r="H12" s="95"/>
      <c r="I12" s="96"/>
      <c r="J12" s="97"/>
      <c r="K12" s="98"/>
      <c r="L12" s="101"/>
      <c r="M12" s="12"/>
      <c r="N12" s="12"/>
      <c r="O12" s="12"/>
    </row>
    <row r="13" spans="1:17" ht="22.5">
      <c r="B13" s="26">
        <v>1</v>
      </c>
      <c r="C13" s="68"/>
      <c r="D13" s="69" t="str">
        <f>IF(LEN(E13)=0,"",IF((AND(ISNUMBER(VALUE(E13)),LEN(E13)=12)),3,IF(AND(ISNUMBER(VALUE(E13)),(LEN(E13)=10)),1,IF(AND(OR((LEFT(E13)="R"),(LEFT(E13)="R")),(ISNUMBER(VALUE(RIGHT(E13,9)))),(LEN(E13)=10)),2,FALSE))))</f>
        <v/>
      </c>
      <c r="E13" s="84"/>
      <c r="F13" s="126" t="str">
        <f t="shared" ref="F13:F24" si="0">IF(D13=FALSE,"←ご確認ください",IF(OR(D13=1,D13=2,D13=3),"形式OK",""))</f>
        <v/>
      </c>
      <c r="G13" s="75"/>
      <c r="H13" s="102"/>
      <c r="I13" s="102"/>
      <c r="J13" s="102"/>
      <c r="K13" s="103"/>
      <c r="L13" s="122"/>
      <c r="M13" s="12" t="b">
        <f>IF(COUNTA(E13,G13)=0,FALSE,TRUE)</f>
        <v>0</v>
      </c>
    </row>
    <row r="14" spans="1:17" ht="22.5">
      <c r="B14" s="26">
        <v>2</v>
      </c>
      <c r="C14" s="68"/>
      <c r="D14" s="69" t="str">
        <f t="shared" ref="D14:D77" si="1">IF(LEN(E14)=0,"",IF((AND(ISNUMBER(VALUE(E14)),LEN(E14)=12)),3,IF(AND(ISNUMBER(VALUE(E14)),(LEN(E14)=10)),1,IF(AND(OR((LEFT(E14)="R"),(LEFT(E14)="R")),(ISNUMBER(VALUE(RIGHT(E14,9)))),(LEN(E14)=10)),2,FALSE))))</f>
        <v/>
      </c>
      <c r="E14" s="84"/>
      <c r="F14" s="126" t="str">
        <f t="shared" si="0"/>
        <v/>
      </c>
      <c r="G14" s="75"/>
      <c r="H14" s="102"/>
      <c r="I14" s="102"/>
      <c r="J14" s="102"/>
      <c r="K14" s="103"/>
      <c r="L14" s="123"/>
      <c r="M14" s="12" t="b">
        <f t="shared" ref="M14:M77" si="2">IF(COUNTA(E14,G14)=0,FALSE,TRUE)</f>
        <v>0</v>
      </c>
    </row>
    <row r="15" spans="1:17" ht="22.5">
      <c r="B15" s="26">
        <v>3</v>
      </c>
      <c r="C15" s="68"/>
      <c r="D15" s="69" t="str">
        <f t="shared" si="1"/>
        <v/>
      </c>
      <c r="E15" s="85"/>
      <c r="F15" s="126" t="str">
        <f t="shared" si="0"/>
        <v/>
      </c>
      <c r="G15" s="75"/>
      <c r="H15" s="102"/>
      <c r="I15" s="102"/>
      <c r="J15" s="102"/>
      <c r="K15" s="103"/>
      <c r="L15" s="123"/>
      <c r="M15" s="12" t="b">
        <f t="shared" si="2"/>
        <v>0</v>
      </c>
    </row>
    <row r="16" spans="1:17" ht="22.5">
      <c r="B16" s="26">
        <v>4</v>
      </c>
      <c r="C16" s="68"/>
      <c r="D16" s="69" t="str">
        <f t="shared" si="1"/>
        <v/>
      </c>
      <c r="E16" s="85"/>
      <c r="F16" s="126" t="str">
        <f t="shared" si="0"/>
        <v/>
      </c>
      <c r="G16" s="75"/>
      <c r="H16" s="102"/>
      <c r="I16" s="102"/>
      <c r="J16" s="102"/>
      <c r="K16" s="103"/>
      <c r="L16" s="123"/>
      <c r="M16" s="12" t="b">
        <f t="shared" si="2"/>
        <v>0</v>
      </c>
    </row>
    <row r="17" spans="2:13" ht="22.5">
      <c r="B17" s="26">
        <v>5</v>
      </c>
      <c r="C17" s="68"/>
      <c r="D17" s="69" t="str">
        <f t="shared" si="1"/>
        <v/>
      </c>
      <c r="E17" s="85"/>
      <c r="F17" s="126" t="str">
        <f t="shared" si="0"/>
        <v/>
      </c>
      <c r="G17" s="75"/>
      <c r="H17" s="102"/>
      <c r="I17" s="102"/>
      <c r="J17" s="102"/>
      <c r="K17" s="103"/>
      <c r="L17" s="123"/>
      <c r="M17" s="12" t="b">
        <f t="shared" si="2"/>
        <v>0</v>
      </c>
    </row>
    <row r="18" spans="2:13" ht="22.5">
      <c r="B18" s="26">
        <v>6</v>
      </c>
      <c r="C18" s="68"/>
      <c r="D18" s="69" t="str">
        <f t="shared" si="1"/>
        <v/>
      </c>
      <c r="E18" s="85"/>
      <c r="F18" s="126" t="str">
        <f t="shared" si="0"/>
        <v/>
      </c>
      <c r="G18" s="75"/>
      <c r="H18" s="102"/>
      <c r="I18" s="102"/>
      <c r="J18" s="102"/>
      <c r="K18" s="103"/>
      <c r="L18" s="123"/>
      <c r="M18" s="12" t="b">
        <f t="shared" si="2"/>
        <v>0</v>
      </c>
    </row>
    <row r="19" spans="2:13" ht="22.5">
      <c r="B19" s="26">
        <v>7</v>
      </c>
      <c r="C19" s="68"/>
      <c r="D19" s="69" t="str">
        <f t="shared" si="1"/>
        <v/>
      </c>
      <c r="E19" s="85"/>
      <c r="F19" s="126" t="str">
        <f t="shared" si="0"/>
        <v/>
      </c>
      <c r="G19" s="75"/>
      <c r="H19" s="102"/>
      <c r="I19" s="102"/>
      <c r="J19" s="102"/>
      <c r="K19" s="103"/>
      <c r="L19" s="123"/>
      <c r="M19" s="12" t="b">
        <f t="shared" si="2"/>
        <v>0</v>
      </c>
    </row>
    <row r="20" spans="2:13" ht="22.5">
      <c r="B20" s="26">
        <v>8</v>
      </c>
      <c r="C20" s="68"/>
      <c r="D20" s="69" t="str">
        <f t="shared" ref="D20:D29" si="3">IF(LEN(E20)=0,"",IF((AND(ISNUMBER(VALUE(E20)),LEN(E20)=12)),3,IF(AND(ISNUMBER(VALUE(E20)),(LEN(E20)=10)),1,IF(AND(OR((LEFT(E20)="R"),(LEFT(E20)="R")),(ISNUMBER(VALUE(RIGHT(E20,9)))),(LEN(E20)=10)),2,FALSE))))</f>
        <v/>
      </c>
      <c r="E20" s="85"/>
      <c r="F20" s="126" t="str">
        <f t="shared" si="0"/>
        <v/>
      </c>
      <c r="G20" s="75"/>
      <c r="H20" s="102"/>
      <c r="I20" s="102"/>
      <c r="J20" s="102"/>
      <c r="K20" s="103"/>
      <c r="L20" s="123"/>
      <c r="M20" s="12" t="b">
        <f t="shared" ref="M20:M29" si="4">IF(COUNTA(E20,G20)=0,FALSE,TRUE)</f>
        <v>0</v>
      </c>
    </row>
    <row r="21" spans="2:13" ht="22.5">
      <c r="B21" s="26">
        <v>9</v>
      </c>
      <c r="C21" s="68"/>
      <c r="D21" s="69" t="str">
        <f t="shared" si="3"/>
        <v/>
      </c>
      <c r="E21" s="86"/>
      <c r="F21" s="126" t="str">
        <f t="shared" si="0"/>
        <v/>
      </c>
      <c r="G21" s="75"/>
      <c r="H21" s="102"/>
      <c r="I21" s="102"/>
      <c r="J21" s="102"/>
      <c r="K21" s="103"/>
      <c r="L21" s="123"/>
      <c r="M21" s="12" t="b">
        <f t="shared" si="4"/>
        <v>0</v>
      </c>
    </row>
    <row r="22" spans="2:13" ht="22.5">
      <c r="B22" s="26">
        <v>10</v>
      </c>
      <c r="C22" s="68"/>
      <c r="D22" s="69" t="str">
        <f t="shared" si="3"/>
        <v/>
      </c>
      <c r="E22" s="85"/>
      <c r="F22" s="126" t="str">
        <f t="shared" si="0"/>
        <v/>
      </c>
      <c r="G22" s="75"/>
      <c r="H22" s="102"/>
      <c r="I22" s="102"/>
      <c r="J22" s="102"/>
      <c r="K22" s="103"/>
      <c r="L22" s="123"/>
      <c r="M22" s="12" t="b">
        <f t="shared" si="4"/>
        <v>0</v>
      </c>
    </row>
    <row r="23" spans="2:13" ht="22.5">
      <c r="B23" s="26">
        <v>11</v>
      </c>
      <c r="C23" s="68"/>
      <c r="D23" s="69" t="str">
        <f t="shared" si="3"/>
        <v/>
      </c>
      <c r="E23" s="85"/>
      <c r="F23" s="126" t="str">
        <f t="shared" si="0"/>
        <v/>
      </c>
      <c r="G23" s="75"/>
      <c r="H23" s="102"/>
      <c r="I23" s="102"/>
      <c r="J23" s="102"/>
      <c r="K23" s="103"/>
      <c r="L23" s="123"/>
      <c r="M23" s="12" t="b">
        <f t="shared" si="4"/>
        <v>0</v>
      </c>
    </row>
    <row r="24" spans="2:13" ht="22.5">
      <c r="B24" s="26">
        <v>12</v>
      </c>
      <c r="C24" s="68"/>
      <c r="D24" s="69" t="str">
        <f t="shared" si="3"/>
        <v/>
      </c>
      <c r="E24" s="85"/>
      <c r="F24" s="126" t="str">
        <f t="shared" si="0"/>
        <v/>
      </c>
      <c r="G24" s="75"/>
      <c r="H24" s="102"/>
      <c r="I24" s="102"/>
      <c r="J24" s="102"/>
      <c r="K24" s="103"/>
      <c r="L24" s="123"/>
      <c r="M24" s="12" t="b">
        <f t="shared" si="4"/>
        <v>0</v>
      </c>
    </row>
    <row r="25" spans="2:13" ht="22.5">
      <c r="B25" s="26">
        <v>13</v>
      </c>
      <c r="C25" s="68"/>
      <c r="D25" s="69" t="str">
        <f t="shared" si="3"/>
        <v/>
      </c>
      <c r="E25" s="85"/>
      <c r="F25" s="126" t="str">
        <f>IF(D25=FALSE,"←ご確認ください",IF(OR(D25=1,D25=2,D25=3),"形式OK",""))</f>
        <v/>
      </c>
      <c r="G25" s="75"/>
      <c r="H25" s="102"/>
      <c r="I25" s="102"/>
      <c r="J25" s="102"/>
      <c r="K25" s="103"/>
      <c r="L25" s="123"/>
      <c r="M25" s="12" t="b">
        <f t="shared" si="4"/>
        <v>0</v>
      </c>
    </row>
    <row r="26" spans="2:13" ht="22.5">
      <c r="B26" s="26">
        <v>14</v>
      </c>
      <c r="C26" s="68"/>
      <c r="D26" s="69" t="str">
        <f t="shared" si="3"/>
        <v/>
      </c>
      <c r="E26" s="85"/>
      <c r="F26" s="126" t="str">
        <f t="shared" ref="F26:F77" si="5">IF(D26=FALSE,"←ご確認ください",IF(OR(D26=1,D26=2,D26=3),"形式OK",""))</f>
        <v/>
      </c>
      <c r="G26" s="75"/>
      <c r="H26" s="102"/>
      <c r="I26" s="102"/>
      <c r="J26" s="102"/>
      <c r="K26" s="103"/>
      <c r="L26" s="123"/>
      <c r="M26" s="12" t="b">
        <f t="shared" si="4"/>
        <v>0</v>
      </c>
    </row>
    <row r="27" spans="2:13" ht="22.5">
      <c r="B27" s="26">
        <v>15</v>
      </c>
      <c r="C27" s="68"/>
      <c r="D27" s="69" t="str">
        <f t="shared" si="3"/>
        <v/>
      </c>
      <c r="E27" s="85"/>
      <c r="F27" s="126" t="str">
        <f t="shared" si="5"/>
        <v/>
      </c>
      <c r="G27" s="75"/>
      <c r="H27" s="102"/>
      <c r="I27" s="102"/>
      <c r="J27" s="102"/>
      <c r="K27" s="103"/>
      <c r="L27" s="123"/>
      <c r="M27" s="12" t="b">
        <f t="shared" si="4"/>
        <v>0</v>
      </c>
    </row>
    <row r="28" spans="2:13" ht="22.5">
      <c r="B28" s="26">
        <v>16</v>
      </c>
      <c r="C28" s="68"/>
      <c r="D28" s="69" t="str">
        <f t="shared" si="3"/>
        <v/>
      </c>
      <c r="E28" s="85"/>
      <c r="F28" s="126" t="str">
        <f t="shared" si="5"/>
        <v/>
      </c>
      <c r="G28" s="75"/>
      <c r="H28" s="102"/>
      <c r="I28" s="102"/>
      <c r="J28" s="102"/>
      <c r="K28" s="103"/>
      <c r="L28" s="123"/>
      <c r="M28" s="12" t="b">
        <f t="shared" si="4"/>
        <v>0</v>
      </c>
    </row>
    <row r="29" spans="2:13" ht="22.5">
      <c r="B29" s="26">
        <v>17</v>
      </c>
      <c r="C29" s="68"/>
      <c r="D29" s="69" t="str">
        <f t="shared" si="3"/>
        <v/>
      </c>
      <c r="E29" s="85"/>
      <c r="F29" s="126" t="str">
        <f t="shared" si="5"/>
        <v/>
      </c>
      <c r="G29" s="75"/>
      <c r="H29" s="102"/>
      <c r="I29" s="102"/>
      <c r="J29" s="102"/>
      <c r="K29" s="103"/>
      <c r="L29" s="123"/>
      <c r="M29" s="12" t="b">
        <f t="shared" si="4"/>
        <v>0</v>
      </c>
    </row>
    <row r="30" spans="2:13" ht="22.5">
      <c r="B30" s="26">
        <v>18</v>
      </c>
      <c r="C30" s="68"/>
      <c r="D30" s="69" t="str">
        <f t="shared" si="1"/>
        <v/>
      </c>
      <c r="E30" s="85"/>
      <c r="F30" s="126" t="str">
        <f t="shared" si="5"/>
        <v/>
      </c>
      <c r="G30" s="75"/>
      <c r="H30" s="102"/>
      <c r="I30" s="102"/>
      <c r="J30" s="102"/>
      <c r="K30" s="103"/>
      <c r="L30" s="123"/>
      <c r="M30" s="12" t="b">
        <f t="shared" si="2"/>
        <v>0</v>
      </c>
    </row>
    <row r="31" spans="2:13" ht="22.5">
      <c r="B31" s="26">
        <v>19</v>
      </c>
      <c r="C31" s="68"/>
      <c r="D31" s="69" t="str">
        <f t="shared" si="1"/>
        <v/>
      </c>
      <c r="E31" s="85"/>
      <c r="F31" s="126" t="str">
        <f t="shared" si="5"/>
        <v/>
      </c>
      <c r="G31" s="75"/>
      <c r="H31" s="102"/>
      <c r="I31" s="102"/>
      <c r="J31" s="102"/>
      <c r="K31" s="103"/>
      <c r="L31" s="123"/>
      <c r="M31" s="12" t="b">
        <f t="shared" si="2"/>
        <v>0</v>
      </c>
    </row>
    <row r="32" spans="2:13" ht="22.5">
      <c r="B32" s="26">
        <v>20</v>
      </c>
      <c r="C32" s="68"/>
      <c r="D32" s="69" t="str">
        <f t="shared" si="1"/>
        <v/>
      </c>
      <c r="E32" s="85"/>
      <c r="F32" s="126" t="str">
        <f t="shared" si="5"/>
        <v/>
      </c>
      <c r="G32" s="75"/>
      <c r="H32" s="102"/>
      <c r="I32" s="102"/>
      <c r="J32" s="102"/>
      <c r="K32" s="103"/>
      <c r="L32" s="123"/>
      <c r="M32" s="12" t="b">
        <f t="shared" si="2"/>
        <v>0</v>
      </c>
    </row>
    <row r="33" spans="2:13" ht="22.5">
      <c r="B33" s="26">
        <v>21</v>
      </c>
      <c r="C33" s="68"/>
      <c r="D33" s="69" t="str">
        <f t="shared" si="1"/>
        <v/>
      </c>
      <c r="E33" s="85"/>
      <c r="F33" s="126" t="str">
        <f t="shared" si="5"/>
        <v/>
      </c>
      <c r="G33" s="75"/>
      <c r="H33" s="102"/>
      <c r="I33" s="102"/>
      <c r="J33" s="102"/>
      <c r="K33" s="103"/>
      <c r="L33" s="123"/>
      <c r="M33" s="12" t="b">
        <f t="shared" si="2"/>
        <v>0</v>
      </c>
    </row>
    <row r="34" spans="2:13" ht="22.5">
      <c r="B34" s="26">
        <v>22</v>
      </c>
      <c r="C34" s="68"/>
      <c r="D34" s="69" t="str">
        <f t="shared" si="1"/>
        <v/>
      </c>
      <c r="E34" s="85"/>
      <c r="F34" s="126" t="str">
        <f t="shared" si="5"/>
        <v/>
      </c>
      <c r="G34" s="75"/>
      <c r="H34" s="102"/>
      <c r="I34" s="102"/>
      <c r="J34" s="102"/>
      <c r="K34" s="103"/>
      <c r="L34" s="123"/>
      <c r="M34" s="12" t="b">
        <f t="shared" si="2"/>
        <v>0</v>
      </c>
    </row>
    <row r="35" spans="2:13" ht="22.5">
      <c r="B35" s="26">
        <v>23</v>
      </c>
      <c r="C35" s="68"/>
      <c r="D35" s="69" t="str">
        <f t="shared" si="1"/>
        <v/>
      </c>
      <c r="E35" s="85"/>
      <c r="F35" s="126" t="str">
        <f t="shared" si="5"/>
        <v/>
      </c>
      <c r="G35" s="75"/>
      <c r="H35" s="102"/>
      <c r="I35" s="102"/>
      <c r="J35" s="102"/>
      <c r="K35" s="103"/>
      <c r="L35" s="123"/>
      <c r="M35" s="12" t="b">
        <f t="shared" si="2"/>
        <v>0</v>
      </c>
    </row>
    <row r="36" spans="2:13" ht="22.5">
      <c r="B36" s="26">
        <v>24</v>
      </c>
      <c r="C36" s="68"/>
      <c r="D36" s="69" t="str">
        <f t="shared" si="1"/>
        <v/>
      </c>
      <c r="E36" s="85"/>
      <c r="F36" s="126" t="str">
        <f t="shared" si="5"/>
        <v/>
      </c>
      <c r="G36" s="75"/>
      <c r="H36" s="102"/>
      <c r="I36" s="102"/>
      <c r="J36" s="102"/>
      <c r="K36" s="103"/>
      <c r="L36" s="123"/>
      <c r="M36" s="12" t="b">
        <f t="shared" si="2"/>
        <v>0</v>
      </c>
    </row>
    <row r="37" spans="2:13" ht="22.5">
      <c r="B37" s="26">
        <v>25</v>
      </c>
      <c r="C37" s="77"/>
      <c r="D37" s="69" t="str">
        <f t="shared" si="1"/>
        <v/>
      </c>
      <c r="E37" s="84"/>
      <c r="F37" s="126" t="str">
        <f t="shared" si="5"/>
        <v/>
      </c>
      <c r="G37" s="75"/>
      <c r="H37" s="106"/>
      <c r="I37" s="106"/>
      <c r="J37" s="106"/>
      <c r="K37" s="103"/>
      <c r="L37" s="124"/>
      <c r="M37" s="12" t="b">
        <f t="shared" si="2"/>
        <v>0</v>
      </c>
    </row>
    <row r="38" spans="2:13" ht="22.5">
      <c r="B38" s="26">
        <v>26</v>
      </c>
      <c r="C38" s="77"/>
      <c r="D38" s="69" t="str">
        <f t="shared" si="1"/>
        <v/>
      </c>
      <c r="E38" s="84"/>
      <c r="F38" s="126" t="str">
        <f t="shared" si="5"/>
        <v/>
      </c>
      <c r="G38" s="75"/>
      <c r="H38" s="106"/>
      <c r="I38" s="106"/>
      <c r="J38" s="106"/>
      <c r="K38" s="103"/>
      <c r="L38" s="124"/>
      <c r="M38" s="12" t="b">
        <f t="shared" si="2"/>
        <v>0</v>
      </c>
    </row>
    <row r="39" spans="2:13" ht="22.5">
      <c r="B39" s="26">
        <v>27</v>
      </c>
      <c r="C39" s="77"/>
      <c r="D39" s="69" t="str">
        <f t="shared" si="1"/>
        <v/>
      </c>
      <c r="E39" s="84"/>
      <c r="F39" s="126" t="str">
        <f t="shared" si="5"/>
        <v/>
      </c>
      <c r="G39" s="75"/>
      <c r="H39" s="106"/>
      <c r="I39" s="106"/>
      <c r="J39" s="106"/>
      <c r="K39" s="103"/>
      <c r="L39" s="124"/>
      <c r="M39" s="12" t="b">
        <f t="shared" si="2"/>
        <v>0</v>
      </c>
    </row>
    <row r="40" spans="2:13" ht="22.5">
      <c r="B40" s="26">
        <v>28</v>
      </c>
      <c r="C40" s="77"/>
      <c r="D40" s="69" t="str">
        <f t="shared" si="1"/>
        <v/>
      </c>
      <c r="E40" s="84"/>
      <c r="F40" s="126" t="str">
        <f t="shared" si="5"/>
        <v/>
      </c>
      <c r="G40" s="75"/>
      <c r="H40" s="106"/>
      <c r="I40" s="106"/>
      <c r="J40" s="106"/>
      <c r="K40" s="103"/>
      <c r="L40" s="124"/>
      <c r="M40" s="12" t="b">
        <f t="shared" si="2"/>
        <v>0</v>
      </c>
    </row>
    <row r="41" spans="2:13" ht="22.5">
      <c r="B41" s="26">
        <v>29</v>
      </c>
      <c r="C41" s="77"/>
      <c r="D41" s="69" t="str">
        <f t="shared" si="1"/>
        <v/>
      </c>
      <c r="E41" s="84"/>
      <c r="F41" s="126" t="str">
        <f t="shared" si="5"/>
        <v/>
      </c>
      <c r="G41" s="75"/>
      <c r="H41" s="106"/>
      <c r="I41" s="106"/>
      <c r="J41" s="106"/>
      <c r="K41" s="103"/>
      <c r="L41" s="124"/>
      <c r="M41" s="12" t="b">
        <f t="shared" si="2"/>
        <v>0</v>
      </c>
    </row>
    <row r="42" spans="2:13" ht="22.5">
      <c r="B42" s="26">
        <v>30</v>
      </c>
      <c r="C42" s="77"/>
      <c r="D42" s="69" t="str">
        <f t="shared" si="1"/>
        <v/>
      </c>
      <c r="E42" s="84"/>
      <c r="F42" s="126" t="str">
        <f t="shared" si="5"/>
        <v/>
      </c>
      <c r="G42" s="75"/>
      <c r="H42" s="106"/>
      <c r="I42" s="106"/>
      <c r="J42" s="106"/>
      <c r="K42" s="103"/>
      <c r="L42" s="124"/>
      <c r="M42" s="12" t="b">
        <f t="shared" si="2"/>
        <v>0</v>
      </c>
    </row>
    <row r="43" spans="2:13" ht="22.5">
      <c r="B43" s="26">
        <v>31</v>
      </c>
      <c r="C43" s="77"/>
      <c r="D43" s="69" t="str">
        <f t="shared" si="1"/>
        <v/>
      </c>
      <c r="E43" s="84"/>
      <c r="F43" s="126" t="str">
        <f t="shared" si="5"/>
        <v/>
      </c>
      <c r="G43" s="75"/>
      <c r="H43" s="106"/>
      <c r="I43" s="106"/>
      <c r="J43" s="106"/>
      <c r="K43" s="103"/>
      <c r="L43" s="124"/>
      <c r="M43" s="12" t="b">
        <f t="shared" si="2"/>
        <v>0</v>
      </c>
    </row>
    <row r="44" spans="2:13" ht="22.5">
      <c r="B44" s="26">
        <v>32</v>
      </c>
      <c r="C44" s="77"/>
      <c r="D44" s="69" t="str">
        <f t="shared" si="1"/>
        <v/>
      </c>
      <c r="E44" s="84"/>
      <c r="F44" s="126" t="str">
        <f t="shared" si="5"/>
        <v/>
      </c>
      <c r="G44" s="75"/>
      <c r="H44" s="106"/>
      <c r="I44" s="106"/>
      <c r="J44" s="106"/>
      <c r="K44" s="103"/>
      <c r="L44" s="124"/>
      <c r="M44" s="12" t="b">
        <f t="shared" si="2"/>
        <v>0</v>
      </c>
    </row>
    <row r="45" spans="2:13" ht="22.5">
      <c r="B45" s="26">
        <v>33</v>
      </c>
      <c r="C45" s="77"/>
      <c r="D45" s="69" t="str">
        <f t="shared" si="1"/>
        <v/>
      </c>
      <c r="E45" s="84"/>
      <c r="F45" s="126" t="str">
        <f t="shared" si="5"/>
        <v/>
      </c>
      <c r="G45" s="75"/>
      <c r="H45" s="106"/>
      <c r="I45" s="106"/>
      <c r="J45" s="106"/>
      <c r="K45" s="103"/>
      <c r="L45" s="124"/>
      <c r="M45" s="12" t="b">
        <f t="shared" si="2"/>
        <v>0</v>
      </c>
    </row>
    <row r="46" spans="2:13" ht="22.5">
      <c r="B46" s="26">
        <v>34</v>
      </c>
      <c r="C46" s="77"/>
      <c r="D46" s="69" t="str">
        <f t="shared" si="1"/>
        <v/>
      </c>
      <c r="E46" s="84"/>
      <c r="F46" s="126" t="str">
        <f t="shared" si="5"/>
        <v/>
      </c>
      <c r="G46" s="75"/>
      <c r="H46" s="106"/>
      <c r="I46" s="106"/>
      <c r="J46" s="106"/>
      <c r="K46" s="103"/>
      <c r="L46" s="124"/>
      <c r="M46" s="12" t="b">
        <f t="shared" si="2"/>
        <v>0</v>
      </c>
    </row>
    <row r="47" spans="2:13" ht="22.5">
      <c r="B47" s="26">
        <v>35</v>
      </c>
      <c r="C47" s="77"/>
      <c r="D47" s="69" t="str">
        <f t="shared" si="1"/>
        <v/>
      </c>
      <c r="E47" s="84"/>
      <c r="F47" s="126" t="str">
        <f t="shared" si="5"/>
        <v/>
      </c>
      <c r="G47" s="75"/>
      <c r="H47" s="106"/>
      <c r="I47" s="106"/>
      <c r="J47" s="106"/>
      <c r="K47" s="103"/>
      <c r="L47" s="124"/>
      <c r="M47" s="12" t="b">
        <f t="shared" si="2"/>
        <v>0</v>
      </c>
    </row>
    <row r="48" spans="2:13" ht="22.5">
      <c r="B48" s="26">
        <v>36</v>
      </c>
      <c r="C48" s="77"/>
      <c r="D48" s="69" t="str">
        <f t="shared" si="1"/>
        <v/>
      </c>
      <c r="E48" s="84"/>
      <c r="F48" s="126" t="str">
        <f t="shared" si="5"/>
        <v/>
      </c>
      <c r="G48" s="75"/>
      <c r="H48" s="106"/>
      <c r="I48" s="106"/>
      <c r="J48" s="106"/>
      <c r="K48" s="103"/>
      <c r="L48" s="124"/>
      <c r="M48" s="12" t="b">
        <f t="shared" si="2"/>
        <v>0</v>
      </c>
    </row>
    <row r="49" spans="2:13" ht="22.5">
      <c r="B49" s="26">
        <v>37</v>
      </c>
      <c r="C49" s="77"/>
      <c r="D49" s="69" t="str">
        <f t="shared" si="1"/>
        <v/>
      </c>
      <c r="E49" s="84"/>
      <c r="F49" s="126" t="str">
        <f t="shared" si="5"/>
        <v/>
      </c>
      <c r="G49" s="75"/>
      <c r="H49" s="106"/>
      <c r="I49" s="106"/>
      <c r="J49" s="106"/>
      <c r="K49" s="103"/>
      <c r="L49" s="124"/>
      <c r="M49" s="12" t="b">
        <f t="shared" si="2"/>
        <v>0</v>
      </c>
    </row>
    <row r="50" spans="2:13" ht="22.5">
      <c r="B50" s="26">
        <v>38</v>
      </c>
      <c r="C50" s="77"/>
      <c r="D50" s="69" t="str">
        <f t="shared" si="1"/>
        <v/>
      </c>
      <c r="E50" s="84"/>
      <c r="F50" s="126" t="str">
        <f t="shared" si="5"/>
        <v/>
      </c>
      <c r="G50" s="75"/>
      <c r="H50" s="106"/>
      <c r="I50" s="106"/>
      <c r="J50" s="106"/>
      <c r="K50" s="103"/>
      <c r="L50" s="124"/>
      <c r="M50" s="12" t="b">
        <f t="shared" si="2"/>
        <v>0</v>
      </c>
    </row>
    <row r="51" spans="2:13" ht="22.5">
      <c r="B51" s="26">
        <v>39</v>
      </c>
      <c r="C51" s="77"/>
      <c r="D51" s="69" t="str">
        <f t="shared" si="1"/>
        <v/>
      </c>
      <c r="E51" s="84"/>
      <c r="F51" s="126" t="str">
        <f t="shared" si="5"/>
        <v/>
      </c>
      <c r="G51" s="75"/>
      <c r="H51" s="106"/>
      <c r="I51" s="106"/>
      <c r="J51" s="106"/>
      <c r="K51" s="103"/>
      <c r="L51" s="124"/>
      <c r="M51" s="12" t="b">
        <f t="shared" si="2"/>
        <v>0</v>
      </c>
    </row>
    <row r="52" spans="2:13" ht="22.5">
      <c r="B52" s="26">
        <v>40</v>
      </c>
      <c r="C52" s="77"/>
      <c r="D52" s="69" t="str">
        <f t="shared" si="1"/>
        <v/>
      </c>
      <c r="E52" s="84"/>
      <c r="F52" s="126" t="str">
        <f t="shared" si="5"/>
        <v/>
      </c>
      <c r="G52" s="75"/>
      <c r="H52" s="106"/>
      <c r="I52" s="106"/>
      <c r="J52" s="106"/>
      <c r="K52" s="103"/>
      <c r="L52" s="124"/>
      <c r="M52" s="12" t="b">
        <f t="shared" si="2"/>
        <v>0</v>
      </c>
    </row>
    <row r="53" spans="2:13" ht="22.5">
      <c r="B53" s="26">
        <v>41</v>
      </c>
      <c r="C53" s="77"/>
      <c r="D53" s="69" t="str">
        <f t="shared" si="1"/>
        <v/>
      </c>
      <c r="E53" s="84"/>
      <c r="F53" s="126" t="str">
        <f t="shared" si="5"/>
        <v/>
      </c>
      <c r="G53" s="75"/>
      <c r="H53" s="106"/>
      <c r="I53" s="106"/>
      <c r="J53" s="106"/>
      <c r="K53" s="103"/>
      <c r="L53" s="124"/>
      <c r="M53" s="12" t="b">
        <f t="shared" si="2"/>
        <v>0</v>
      </c>
    </row>
    <row r="54" spans="2:13" ht="22.5">
      <c r="B54" s="26">
        <v>42</v>
      </c>
      <c r="C54" s="77"/>
      <c r="D54" s="69" t="str">
        <f t="shared" si="1"/>
        <v/>
      </c>
      <c r="E54" s="84"/>
      <c r="F54" s="126" t="str">
        <f t="shared" si="5"/>
        <v/>
      </c>
      <c r="G54" s="75"/>
      <c r="H54" s="106"/>
      <c r="I54" s="106"/>
      <c r="J54" s="106"/>
      <c r="K54" s="103"/>
      <c r="L54" s="124"/>
      <c r="M54" s="12" t="b">
        <f t="shared" si="2"/>
        <v>0</v>
      </c>
    </row>
    <row r="55" spans="2:13" ht="22.5">
      <c r="B55" s="26">
        <v>43</v>
      </c>
      <c r="C55" s="77"/>
      <c r="D55" s="69" t="str">
        <f t="shared" si="1"/>
        <v/>
      </c>
      <c r="E55" s="84"/>
      <c r="F55" s="126" t="str">
        <f t="shared" si="5"/>
        <v/>
      </c>
      <c r="G55" s="75"/>
      <c r="H55" s="106"/>
      <c r="I55" s="106"/>
      <c r="J55" s="106"/>
      <c r="K55" s="103"/>
      <c r="L55" s="124"/>
      <c r="M55" s="12" t="b">
        <f t="shared" si="2"/>
        <v>0</v>
      </c>
    </row>
    <row r="56" spans="2:13" ht="22.5">
      <c r="B56" s="26">
        <v>44</v>
      </c>
      <c r="C56" s="77"/>
      <c r="D56" s="69" t="str">
        <f t="shared" si="1"/>
        <v/>
      </c>
      <c r="E56" s="84"/>
      <c r="F56" s="126" t="str">
        <f t="shared" si="5"/>
        <v/>
      </c>
      <c r="G56" s="75"/>
      <c r="H56" s="106"/>
      <c r="I56" s="106"/>
      <c r="J56" s="106"/>
      <c r="K56" s="103"/>
      <c r="L56" s="124"/>
      <c r="M56" s="12" t="b">
        <f t="shared" si="2"/>
        <v>0</v>
      </c>
    </row>
    <row r="57" spans="2:13" ht="22.5">
      <c r="B57" s="26">
        <v>45</v>
      </c>
      <c r="C57" s="77"/>
      <c r="D57" s="69" t="str">
        <f t="shared" si="1"/>
        <v/>
      </c>
      <c r="E57" s="84"/>
      <c r="F57" s="126" t="str">
        <f t="shared" si="5"/>
        <v/>
      </c>
      <c r="G57" s="75"/>
      <c r="H57" s="106"/>
      <c r="I57" s="106"/>
      <c r="J57" s="106"/>
      <c r="K57" s="103"/>
      <c r="L57" s="124"/>
      <c r="M57" s="12" t="b">
        <f t="shared" si="2"/>
        <v>0</v>
      </c>
    </row>
    <row r="58" spans="2:13" ht="22.5">
      <c r="B58" s="26">
        <v>46</v>
      </c>
      <c r="C58" s="77"/>
      <c r="D58" s="69" t="str">
        <f t="shared" si="1"/>
        <v/>
      </c>
      <c r="E58" s="84"/>
      <c r="F58" s="126" t="str">
        <f t="shared" si="5"/>
        <v/>
      </c>
      <c r="G58" s="75"/>
      <c r="H58" s="106"/>
      <c r="I58" s="106"/>
      <c r="J58" s="106"/>
      <c r="K58" s="103"/>
      <c r="L58" s="124"/>
      <c r="M58" s="12" t="b">
        <f t="shared" si="2"/>
        <v>0</v>
      </c>
    </row>
    <row r="59" spans="2:13" ht="22.5">
      <c r="B59" s="26">
        <v>47</v>
      </c>
      <c r="C59" s="77"/>
      <c r="D59" s="69" t="str">
        <f t="shared" si="1"/>
        <v/>
      </c>
      <c r="E59" s="84"/>
      <c r="F59" s="126" t="str">
        <f t="shared" si="5"/>
        <v/>
      </c>
      <c r="G59" s="75"/>
      <c r="H59" s="106"/>
      <c r="I59" s="106"/>
      <c r="J59" s="106"/>
      <c r="K59" s="103"/>
      <c r="L59" s="124"/>
      <c r="M59" s="12" t="b">
        <f t="shared" si="2"/>
        <v>0</v>
      </c>
    </row>
    <row r="60" spans="2:13" ht="22.5">
      <c r="B60" s="26">
        <v>48</v>
      </c>
      <c r="C60" s="77"/>
      <c r="D60" s="69" t="str">
        <f t="shared" si="1"/>
        <v/>
      </c>
      <c r="E60" s="84"/>
      <c r="F60" s="126" t="str">
        <f t="shared" si="5"/>
        <v/>
      </c>
      <c r="G60" s="75"/>
      <c r="H60" s="106"/>
      <c r="I60" s="106"/>
      <c r="J60" s="106"/>
      <c r="K60" s="103"/>
      <c r="L60" s="124"/>
      <c r="M60" s="12" t="b">
        <f t="shared" si="2"/>
        <v>0</v>
      </c>
    </row>
    <row r="61" spans="2:13" ht="22.5">
      <c r="B61" s="26">
        <v>49</v>
      </c>
      <c r="C61" s="77"/>
      <c r="D61" s="69" t="str">
        <f t="shared" si="1"/>
        <v/>
      </c>
      <c r="E61" s="84"/>
      <c r="F61" s="126" t="str">
        <f t="shared" si="5"/>
        <v/>
      </c>
      <c r="G61" s="75"/>
      <c r="H61" s="106"/>
      <c r="I61" s="106"/>
      <c r="J61" s="106"/>
      <c r="K61" s="103"/>
      <c r="L61" s="124"/>
      <c r="M61" s="12" t="b">
        <f t="shared" si="2"/>
        <v>0</v>
      </c>
    </row>
    <row r="62" spans="2:13" ht="22.5">
      <c r="B62" s="26">
        <v>50</v>
      </c>
      <c r="C62" s="77"/>
      <c r="D62" s="69" t="str">
        <f t="shared" si="1"/>
        <v/>
      </c>
      <c r="E62" s="84"/>
      <c r="F62" s="126" t="str">
        <f t="shared" si="5"/>
        <v/>
      </c>
      <c r="G62" s="75"/>
      <c r="H62" s="106"/>
      <c r="I62" s="106"/>
      <c r="J62" s="106"/>
      <c r="K62" s="103"/>
      <c r="L62" s="124"/>
      <c r="M62" s="12" t="b">
        <f t="shared" si="2"/>
        <v>0</v>
      </c>
    </row>
    <row r="63" spans="2:13" ht="22.5">
      <c r="B63" s="26">
        <v>51</v>
      </c>
      <c r="C63" s="77"/>
      <c r="D63" s="69" t="str">
        <f t="shared" si="1"/>
        <v/>
      </c>
      <c r="E63" s="84"/>
      <c r="F63" s="126" t="str">
        <f t="shared" si="5"/>
        <v/>
      </c>
      <c r="G63" s="75"/>
      <c r="H63" s="106"/>
      <c r="I63" s="106"/>
      <c r="J63" s="106"/>
      <c r="K63" s="103"/>
      <c r="L63" s="124"/>
      <c r="M63" s="12" t="b">
        <f t="shared" si="2"/>
        <v>0</v>
      </c>
    </row>
    <row r="64" spans="2:13" ht="22.5">
      <c r="B64" s="26">
        <v>52</v>
      </c>
      <c r="C64" s="77"/>
      <c r="D64" s="69" t="str">
        <f t="shared" si="1"/>
        <v/>
      </c>
      <c r="E64" s="84"/>
      <c r="F64" s="126" t="str">
        <f t="shared" si="5"/>
        <v/>
      </c>
      <c r="G64" s="75"/>
      <c r="H64" s="106"/>
      <c r="I64" s="106"/>
      <c r="J64" s="106"/>
      <c r="K64" s="103"/>
      <c r="L64" s="124"/>
      <c r="M64" s="12" t="b">
        <f t="shared" si="2"/>
        <v>0</v>
      </c>
    </row>
    <row r="65" spans="2:13" ht="22.5">
      <c r="B65" s="26">
        <v>53</v>
      </c>
      <c r="C65" s="77"/>
      <c r="D65" s="69" t="str">
        <f t="shared" si="1"/>
        <v/>
      </c>
      <c r="E65" s="84"/>
      <c r="F65" s="126" t="str">
        <f t="shared" si="5"/>
        <v/>
      </c>
      <c r="G65" s="75"/>
      <c r="H65" s="106"/>
      <c r="I65" s="106"/>
      <c r="J65" s="106"/>
      <c r="K65" s="103"/>
      <c r="L65" s="124"/>
      <c r="M65" s="12" t="b">
        <f t="shared" si="2"/>
        <v>0</v>
      </c>
    </row>
    <row r="66" spans="2:13" ht="22.5">
      <c r="B66" s="26">
        <v>54</v>
      </c>
      <c r="C66" s="77"/>
      <c r="D66" s="69" t="str">
        <f t="shared" si="1"/>
        <v/>
      </c>
      <c r="E66" s="84"/>
      <c r="F66" s="126" t="str">
        <f t="shared" si="5"/>
        <v/>
      </c>
      <c r="G66" s="75"/>
      <c r="H66" s="106"/>
      <c r="I66" s="106"/>
      <c r="J66" s="106"/>
      <c r="K66" s="103"/>
      <c r="L66" s="124"/>
      <c r="M66" s="12" t="b">
        <f t="shared" si="2"/>
        <v>0</v>
      </c>
    </row>
    <row r="67" spans="2:13" ht="22.5">
      <c r="B67" s="26">
        <v>55</v>
      </c>
      <c r="C67" s="77"/>
      <c r="D67" s="69" t="str">
        <f t="shared" si="1"/>
        <v/>
      </c>
      <c r="E67" s="84"/>
      <c r="F67" s="126" t="str">
        <f t="shared" si="5"/>
        <v/>
      </c>
      <c r="G67" s="75"/>
      <c r="H67" s="106"/>
      <c r="I67" s="106"/>
      <c r="J67" s="106"/>
      <c r="K67" s="103"/>
      <c r="L67" s="124"/>
      <c r="M67" s="12" t="b">
        <f t="shared" si="2"/>
        <v>0</v>
      </c>
    </row>
    <row r="68" spans="2:13" ht="22.5">
      <c r="B68" s="26">
        <v>56</v>
      </c>
      <c r="C68" s="77"/>
      <c r="D68" s="69" t="str">
        <f t="shared" si="1"/>
        <v/>
      </c>
      <c r="E68" s="84"/>
      <c r="F68" s="126" t="str">
        <f t="shared" si="5"/>
        <v/>
      </c>
      <c r="G68" s="75"/>
      <c r="H68" s="106"/>
      <c r="I68" s="106"/>
      <c r="J68" s="106"/>
      <c r="K68" s="103"/>
      <c r="L68" s="124"/>
      <c r="M68" s="12" t="b">
        <f t="shared" si="2"/>
        <v>0</v>
      </c>
    </row>
    <row r="69" spans="2:13" ht="22.5">
      <c r="B69" s="26">
        <v>57</v>
      </c>
      <c r="C69" s="77"/>
      <c r="D69" s="69" t="str">
        <f t="shared" si="1"/>
        <v/>
      </c>
      <c r="E69" s="84"/>
      <c r="F69" s="126" t="str">
        <f t="shared" si="5"/>
        <v/>
      </c>
      <c r="G69" s="75"/>
      <c r="H69" s="106"/>
      <c r="I69" s="106"/>
      <c r="J69" s="106"/>
      <c r="K69" s="103"/>
      <c r="L69" s="124"/>
      <c r="M69" s="12" t="b">
        <f t="shared" si="2"/>
        <v>0</v>
      </c>
    </row>
    <row r="70" spans="2:13" ht="22.5">
      <c r="B70" s="26">
        <v>58</v>
      </c>
      <c r="C70" s="77"/>
      <c r="D70" s="69" t="str">
        <f t="shared" si="1"/>
        <v/>
      </c>
      <c r="E70" s="84"/>
      <c r="F70" s="126" t="str">
        <f t="shared" si="5"/>
        <v/>
      </c>
      <c r="G70" s="75"/>
      <c r="H70" s="106"/>
      <c r="I70" s="106"/>
      <c r="J70" s="106"/>
      <c r="K70" s="103"/>
      <c r="L70" s="124"/>
      <c r="M70" s="12" t="b">
        <f t="shared" si="2"/>
        <v>0</v>
      </c>
    </row>
    <row r="71" spans="2:13" ht="22.5">
      <c r="B71" s="26">
        <v>59</v>
      </c>
      <c r="C71" s="77"/>
      <c r="D71" s="69" t="str">
        <f t="shared" si="1"/>
        <v/>
      </c>
      <c r="E71" s="84"/>
      <c r="F71" s="126" t="str">
        <f t="shared" si="5"/>
        <v/>
      </c>
      <c r="G71" s="75"/>
      <c r="H71" s="106"/>
      <c r="I71" s="106"/>
      <c r="J71" s="106"/>
      <c r="K71" s="103"/>
      <c r="L71" s="124"/>
      <c r="M71" s="12" t="b">
        <f t="shared" si="2"/>
        <v>0</v>
      </c>
    </row>
    <row r="72" spans="2:13" ht="22.5">
      <c r="B72" s="26">
        <v>60</v>
      </c>
      <c r="C72" s="77"/>
      <c r="D72" s="69" t="str">
        <f t="shared" si="1"/>
        <v/>
      </c>
      <c r="E72" s="84"/>
      <c r="F72" s="126" t="str">
        <f t="shared" si="5"/>
        <v/>
      </c>
      <c r="G72" s="75"/>
      <c r="H72" s="106"/>
      <c r="I72" s="106"/>
      <c r="J72" s="106"/>
      <c r="K72" s="103"/>
      <c r="L72" s="124"/>
      <c r="M72" s="12" t="b">
        <f t="shared" si="2"/>
        <v>0</v>
      </c>
    </row>
    <row r="73" spans="2:13" ht="22.5">
      <c r="B73" s="26">
        <v>61</v>
      </c>
      <c r="C73" s="77"/>
      <c r="D73" s="69" t="str">
        <f t="shared" si="1"/>
        <v/>
      </c>
      <c r="E73" s="84"/>
      <c r="F73" s="126" t="str">
        <f t="shared" si="5"/>
        <v/>
      </c>
      <c r="G73" s="75"/>
      <c r="H73" s="106"/>
      <c r="I73" s="106"/>
      <c r="J73" s="106"/>
      <c r="K73" s="103"/>
      <c r="L73" s="124"/>
      <c r="M73" s="12" t="b">
        <f t="shared" si="2"/>
        <v>0</v>
      </c>
    </row>
    <row r="74" spans="2:13" ht="22.5">
      <c r="B74" s="26">
        <v>62</v>
      </c>
      <c r="C74" s="77"/>
      <c r="D74" s="69" t="str">
        <f t="shared" si="1"/>
        <v/>
      </c>
      <c r="E74" s="84"/>
      <c r="F74" s="126" t="str">
        <f t="shared" si="5"/>
        <v/>
      </c>
      <c r="G74" s="75"/>
      <c r="H74" s="106"/>
      <c r="I74" s="106"/>
      <c r="J74" s="106"/>
      <c r="K74" s="103"/>
      <c r="L74" s="124"/>
      <c r="M74" s="12" t="b">
        <f t="shared" si="2"/>
        <v>0</v>
      </c>
    </row>
    <row r="75" spans="2:13" ht="22.5">
      <c r="B75" s="26">
        <v>63</v>
      </c>
      <c r="C75" s="77"/>
      <c r="D75" s="69" t="str">
        <f t="shared" si="1"/>
        <v/>
      </c>
      <c r="E75" s="84"/>
      <c r="F75" s="126" t="str">
        <f t="shared" si="5"/>
        <v/>
      </c>
      <c r="G75" s="75"/>
      <c r="H75" s="106"/>
      <c r="I75" s="106"/>
      <c r="J75" s="106"/>
      <c r="K75" s="103"/>
      <c r="L75" s="124"/>
      <c r="M75" s="12" t="b">
        <f t="shared" si="2"/>
        <v>0</v>
      </c>
    </row>
    <row r="76" spans="2:13" ht="22.5">
      <c r="B76" s="26">
        <v>64</v>
      </c>
      <c r="C76" s="77"/>
      <c r="D76" s="69" t="str">
        <f t="shared" si="1"/>
        <v/>
      </c>
      <c r="E76" s="84"/>
      <c r="F76" s="126" t="str">
        <f t="shared" si="5"/>
        <v/>
      </c>
      <c r="G76" s="75"/>
      <c r="H76" s="106"/>
      <c r="I76" s="106"/>
      <c r="J76" s="106"/>
      <c r="K76" s="103"/>
      <c r="L76" s="124"/>
      <c r="M76" s="12" t="b">
        <f t="shared" si="2"/>
        <v>0</v>
      </c>
    </row>
    <row r="77" spans="2:13" ht="22.5">
      <c r="B77" s="26">
        <v>65</v>
      </c>
      <c r="C77" s="77"/>
      <c r="D77" s="69" t="str">
        <f t="shared" si="1"/>
        <v/>
      </c>
      <c r="E77" s="84"/>
      <c r="F77" s="126" t="str">
        <f t="shared" si="5"/>
        <v/>
      </c>
      <c r="G77" s="75"/>
      <c r="H77" s="106"/>
      <c r="I77" s="106"/>
      <c r="J77" s="106"/>
      <c r="K77" s="103"/>
      <c r="L77" s="124"/>
      <c r="M77" s="12" t="b">
        <f t="shared" si="2"/>
        <v>0</v>
      </c>
    </row>
    <row r="78" spans="2:13" ht="22.5">
      <c r="B78" s="26">
        <v>66</v>
      </c>
      <c r="C78" s="77"/>
      <c r="D78" s="69" t="str">
        <f t="shared" ref="D78:D141" si="6">IF(LEN(E78)=0,"",IF((AND(ISNUMBER(VALUE(E78)),LEN(E78)=12)),3,IF(AND(ISNUMBER(VALUE(E78)),(LEN(E78)=10)),1,IF(AND(OR((LEFT(E78)="R"),(LEFT(E78)="R")),(ISNUMBER(VALUE(RIGHT(E78,9)))),(LEN(E78)=10)),2,FALSE))))</f>
        <v/>
      </c>
      <c r="E78" s="84"/>
      <c r="F78" s="126" t="str">
        <f t="shared" ref="F78:F141" si="7">IF(D78=FALSE,"←ご確認ください",IF(OR(D78=1,D78=2,D78=3),"形式OK",""))</f>
        <v/>
      </c>
      <c r="G78" s="75"/>
      <c r="H78" s="106"/>
      <c r="I78" s="106"/>
      <c r="J78" s="106"/>
      <c r="K78" s="103"/>
      <c r="L78" s="124"/>
      <c r="M78" s="12" t="b">
        <f t="shared" ref="M78:M141" si="8">IF(COUNTA(E78,G78)=0,FALSE,TRUE)</f>
        <v>0</v>
      </c>
    </row>
    <row r="79" spans="2:13" ht="22.5">
      <c r="B79" s="26">
        <v>67</v>
      </c>
      <c r="C79" s="77"/>
      <c r="D79" s="69" t="str">
        <f t="shared" si="6"/>
        <v/>
      </c>
      <c r="E79" s="84"/>
      <c r="F79" s="126" t="str">
        <f t="shared" si="7"/>
        <v/>
      </c>
      <c r="G79" s="75"/>
      <c r="H79" s="106"/>
      <c r="I79" s="106"/>
      <c r="J79" s="106"/>
      <c r="K79" s="103"/>
      <c r="L79" s="124"/>
      <c r="M79" s="12" t="b">
        <f t="shared" si="8"/>
        <v>0</v>
      </c>
    </row>
    <row r="80" spans="2:13" ht="22.5">
      <c r="B80" s="26">
        <v>68</v>
      </c>
      <c r="C80" s="77"/>
      <c r="D80" s="69" t="str">
        <f t="shared" si="6"/>
        <v/>
      </c>
      <c r="E80" s="84"/>
      <c r="F80" s="126" t="str">
        <f t="shared" si="7"/>
        <v/>
      </c>
      <c r="G80" s="75"/>
      <c r="H80" s="106"/>
      <c r="I80" s="106"/>
      <c r="J80" s="106"/>
      <c r="K80" s="103"/>
      <c r="L80" s="124"/>
      <c r="M80" s="12" t="b">
        <f t="shared" si="8"/>
        <v>0</v>
      </c>
    </row>
    <row r="81" spans="2:13" ht="22.5">
      <c r="B81" s="26">
        <v>69</v>
      </c>
      <c r="C81" s="77"/>
      <c r="D81" s="69" t="str">
        <f t="shared" si="6"/>
        <v/>
      </c>
      <c r="E81" s="84"/>
      <c r="F81" s="126" t="str">
        <f t="shared" si="7"/>
        <v/>
      </c>
      <c r="G81" s="75"/>
      <c r="H81" s="106"/>
      <c r="I81" s="106"/>
      <c r="J81" s="106"/>
      <c r="K81" s="103"/>
      <c r="L81" s="124"/>
      <c r="M81" s="12" t="b">
        <f t="shared" si="8"/>
        <v>0</v>
      </c>
    </row>
    <row r="82" spans="2:13" ht="22.5">
      <c r="B82" s="26">
        <v>70</v>
      </c>
      <c r="C82" s="77"/>
      <c r="D82" s="69" t="str">
        <f t="shared" si="6"/>
        <v/>
      </c>
      <c r="E82" s="84"/>
      <c r="F82" s="126" t="str">
        <f t="shared" si="7"/>
        <v/>
      </c>
      <c r="G82" s="75"/>
      <c r="H82" s="106"/>
      <c r="I82" s="106"/>
      <c r="J82" s="106"/>
      <c r="K82" s="103"/>
      <c r="L82" s="124"/>
      <c r="M82" s="12" t="b">
        <f t="shared" si="8"/>
        <v>0</v>
      </c>
    </row>
    <row r="83" spans="2:13" ht="22.5">
      <c r="B83" s="26">
        <v>71</v>
      </c>
      <c r="C83" s="77"/>
      <c r="D83" s="69" t="str">
        <f t="shared" si="6"/>
        <v/>
      </c>
      <c r="E83" s="84"/>
      <c r="F83" s="126" t="str">
        <f t="shared" si="7"/>
        <v/>
      </c>
      <c r="G83" s="75"/>
      <c r="H83" s="106"/>
      <c r="I83" s="106"/>
      <c r="J83" s="106"/>
      <c r="K83" s="103"/>
      <c r="L83" s="124"/>
      <c r="M83" s="12" t="b">
        <f t="shared" si="8"/>
        <v>0</v>
      </c>
    </row>
    <row r="84" spans="2:13" ht="22.5">
      <c r="B84" s="26">
        <v>72</v>
      </c>
      <c r="C84" s="77"/>
      <c r="D84" s="69" t="str">
        <f t="shared" si="6"/>
        <v/>
      </c>
      <c r="E84" s="84"/>
      <c r="F84" s="126" t="str">
        <f t="shared" si="7"/>
        <v/>
      </c>
      <c r="G84" s="75"/>
      <c r="H84" s="106"/>
      <c r="I84" s="106"/>
      <c r="J84" s="106"/>
      <c r="K84" s="103"/>
      <c r="L84" s="124"/>
      <c r="M84" s="12" t="b">
        <f t="shared" si="8"/>
        <v>0</v>
      </c>
    </row>
    <row r="85" spans="2:13" ht="22.5">
      <c r="B85" s="26">
        <v>73</v>
      </c>
      <c r="C85" s="77"/>
      <c r="D85" s="69" t="str">
        <f t="shared" si="6"/>
        <v/>
      </c>
      <c r="E85" s="84"/>
      <c r="F85" s="126" t="str">
        <f t="shared" si="7"/>
        <v/>
      </c>
      <c r="G85" s="75"/>
      <c r="H85" s="106"/>
      <c r="I85" s="106"/>
      <c r="J85" s="106"/>
      <c r="K85" s="103"/>
      <c r="L85" s="124"/>
      <c r="M85" s="12" t="b">
        <f t="shared" si="8"/>
        <v>0</v>
      </c>
    </row>
    <row r="86" spans="2:13" ht="22.5">
      <c r="B86" s="26">
        <v>74</v>
      </c>
      <c r="C86" s="77"/>
      <c r="D86" s="69" t="str">
        <f t="shared" si="6"/>
        <v/>
      </c>
      <c r="E86" s="84"/>
      <c r="F86" s="126" t="str">
        <f t="shared" si="7"/>
        <v/>
      </c>
      <c r="G86" s="75"/>
      <c r="H86" s="106"/>
      <c r="I86" s="106"/>
      <c r="J86" s="106"/>
      <c r="K86" s="103"/>
      <c r="L86" s="124"/>
      <c r="M86" s="12" t="b">
        <f t="shared" si="8"/>
        <v>0</v>
      </c>
    </row>
    <row r="87" spans="2:13" ht="22.5">
      <c r="B87" s="26">
        <v>75</v>
      </c>
      <c r="C87" s="77"/>
      <c r="D87" s="69" t="str">
        <f t="shared" si="6"/>
        <v/>
      </c>
      <c r="E87" s="84"/>
      <c r="F87" s="126" t="str">
        <f t="shared" si="7"/>
        <v/>
      </c>
      <c r="G87" s="75"/>
      <c r="H87" s="106"/>
      <c r="I87" s="106"/>
      <c r="J87" s="106"/>
      <c r="K87" s="103"/>
      <c r="L87" s="124"/>
      <c r="M87" s="12" t="b">
        <f t="shared" si="8"/>
        <v>0</v>
      </c>
    </row>
    <row r="88" spans="2:13" ht="22.5">
      <c r="B88" s="26">
        <v>76</v>
      </c>
      <c r="C88" s="77"/>
      <c r="D88" s="69" t="str">
        <f t="shared" si="6"/>
        <v/>
      </c>
      <c r="E88" s="84"/>
      <c r="F88" s="126" t="str">
        <f t="shared" si="7"/>
        <v/>
      </c>
      <c r="G88" s="75"/>
      <c r="H88" s="106"/>
      <c r="I88" s="106"/>
      <c r="J88" s="106"/>
      <c r="K88" s="103"/>
      <c r="L88" s="124"/>
      <c r="M88" s="12" t="b">
        <f t="shared" si="8"/>
        <v>0</v>
      </c>
    </row>
    <row r="89" spans="2:13" ht="22.5">
      <c r="B89" s="26">
        <v>77</v>
      </c>
      <c r="C89" s="77"/>
      <c r="D89" s="69" t="str">
        <f t="shared" si="6"/>
        <v/>
      </c>
      <c r="E89" s="84"/>
      <c r="F89" s="126" t="str">
        <f t="shared" si="7"/>
        <v/>
      </c>
      <c r="G89" s="75"/>
      <c r="H89" s="106"/>
      <c r="I89" s="106"/>
      <c r="J89" s="106"/>
      <c r="K89" s="103"/>
      <c r="L89" s="124"/>
      <c r="M89" s="12" t="b">
        <f t="shared" si="8"/>
        <v>0</v>
      </c>
    </row>
    <row r="90" spans="2:13" ht="22.5">
      <c r="B90" s="26">
        <v>78</v>
      </c>
      <c r="C90" s="77"/>
      <c r="D90" s="69" t="str">
        <f t="shared" si="6"/>
        <v/>
      </c>
      <c r="E90" s="84"/>
      <c r="F90" s="126" t="str">
        <f t="shared" si="7"/>
        <v/>
      </c>
      <c r="G90" s="75"/>
      <c r="H90" s="106"/>
      <c r="I90" s="106"/>
      <c r="J90" s="106"/>
      <c r="K90" s="103"/>
      <c r="L90" s="124"/>
      <c r="M90" s="12" t="b">
        <f t="shared" si="8"/>
        <v>0</v>
      </c>
    </row>
    <row r="91" spans="2:13" ht="22.5">
      <c r="B91" s="26">
        <v>79</v>
      </c>
      <c r="C91" s="77"/>
      <c r="D91" s="69" t="str">
        <f t="shared" si="6"/>
        <v/>
      </c>
      <c r="E91" s="84"/>
      <c r="F91" s="126" t="str">
        <f t="shared" si="7"/>
        <v/>
      </c>
      <c r="G91" s="75"/>
      <c r="H91" s="106"/>
      <c r="I91" s="106"/>
      <c r="J91" s="106"/>
      <c r="K91" s="103"/>
      <c r="L91" s="124"/>
      <c r="M91" s="12" t="b">
        <f t="shared" si="8"/>
        <v>0</v>
      </c>
    </row>
    <row r="92" spans="2:13" ht="22.5">
      <c r="B92" s="26">
        <v>80</v>
      </c>
      <c r="C92" s="77"/>
      <c r="D92" s="69" t="str">
        <f t="shared" si="6"/>
        <v/>
      </c>
      <c r="E92" s="84"/>
      <c r="F92" s="126" t="str">
        <f t="shared" si="7"/>
        <v/>
      </c>
      <c r="G92" s="75"/>
      <c r="H92" s="106"/>
      <c r="I92" s="106"/>
      <c r="J92" s="106"/>
      <c r="K92" s="103"/>
      <c r="L92" s="124"/>
      <c r="M92" s="12" t="b">
        <f t="shared" si="8"/>
        <v>0</v>
      </c>
    </row>
    <row r="93" spans="2:13" ht="22.5">
      <c r="B93" s="26">
        <v>81</v>
      </c>
      <c r="C93" s="77"/>
      <c r="D93" s="69" t="str">
        <f t="shared" si="6"/>
        <v/>
      </c>
      <c r="E93" s="84"/>
      <c r="F93" s="126" t="str">
        <f t="shared" si="7"/>
        <v/>
      </c>
      <c r="G93" s="75"/>
      <c r="H93" s="106"/>
      <c r="I93" s="106"/>
      <c r="J93" s="106"/>
      <c r="K93" s="103"/>
      <c r="L93" s="124"/>
      <c r="M93" s="12" t="b">
        <f t="shared" si="8"/>
        <v>0</v>
      </c>
    </row>
    <row r="94" spans="2:13" ht="22.5">
      <c r="B94" s="26">
        <v>82</v>
      </c>
      <c r="C94" s="77"/>
      <c r="D94" s="69" t="str">
        <f t="shared" si="6"/>
        <v/>
      </c>
      <c r="E94" s="84"/>
      <c r="F94" s="126" t="str">
        <f t="shared" si="7"/>
        <v/>
      </c>
      <c r="G94" s="75"/>
      <c r="H94" s="106"/>
      <c r="I94" s="106"/>
      <c r="J94" s="106"/>
      <c r="K94" s="103"/>
      <c r="L94" s="124"/>
      <c r="M94" s="12" t="b">
        <f t="shared" si="8"/>
        <v>0</v>
      </c>
    </row>
    <row r="95" spans="2:13" ht="22.5">
      <c r="B95" s="26">
        <v>83</v>
      </c>
      <c r="C95" s="77"/>
      <c r="D95" s="69" t="str">
        <f t="shared" si="6"/>
        <v/>
      </c>
      <c r="E95" s="84"/>
      <c r="F95" s="126" t="str">
        <f t="shared" si="7"/>
        <v/>
      </c>
      <c r="G95" s="75"/>
      <c r="H95" s="106"/>
      <c r="I95" s="106"/>
      <c r="J95" s="106"/>
      <c r="K95" s="103"/>
      <c r="L95" s="124"/>
      <c r="M95" s="12" t="b">
        <f t="shared" si="8"/>
        <v>0</v>
      </c>
    </row>
    <row r="96" spans="2:13" ht="22.5">
      <c r="B96" s="26">
        <v>84</v>
      </c>
      <c r="C96" s="77"/>
      <c r="D96" s="69" t="str">
        <f t="shared" si="6"/>
        <v/>
      </c>
      <c r="E96" s="84"/>
      <c r="F96" s="126" t="str">
        <f t="shared" si="7"/>
        <v/>
      </c>
      <c r="G96" s="75"/>
      <c r="H96" s="106"/>
      <c r="I96" s="106"/>
      <c r="J96" s="106"/>
      <c r="K96" s="103"/>
      <c r="L96" s="124"/>
      <c r="M96" s="12" t="b">
        <f t="shared" si="8"/>
        <v>0</v>
      </c>
    </row>
    <row r="97" spans="2:13" ht="22.5">
      <c r="B97" s="26">
        <v>85</v>
      </c>
      <c r="C97" s="77"/>
      <c r="D97" s="69" t="str">
        <f t="shared" si="6"/>
        <v/>
      </c>
      <c r="E97" s="84"/>
      <c r="F97" s="126" t="str">
        <f t="shared" si="7"/>
        <v/>
      </c>
      <c r="G97" s="75"/>
      <c r="H97" s="106"/>
      <c r="I97" s="106"/>
      <c r="J97" s="106"/>
      <c r="K97" s="103"/>
      <c r="L97" s="124"/>
      <c r="M97" s="12" t="b">
        <f t="shared" si="8"/>
        <v>0</v>
      </c>
    </row>
    <row r="98" spans="2:13" ht="22.5">
      <c r="B98" s="26">
        <v>86</v>
      </c>
      <c r="C98" s="77"/>
      <c r="D98" s="69" t="str">
        <f t="shared" si="6"/>
        <v/>
      </c>
      <c r="E98" s="84"/>
      <c r="F98" s="126" t="str">
        <f t="shared" si="7"/>
        <v/>
      </c>
      <c r="G98" s="75"/>
      <c r="H98" s="106"/>
      <c r="I98" s="106"/>
      <c r="J98" s="106"/>
      <c r="K98" s="103"/>
      <c r="L98" s="124"/>
      <c r="M98" s="12" t="b">
        <f t="shared" si="8"/>
        <v>0</v>
      </c>
    </row>
    <row r="99" spans="2:13" ht="22.5">
      <c r="B99" s="26">
        <v>87</v>
      </c>
      <c r="C99" s="77"/>
      <c r="D99" s="69" t="str">
        <f t="shared" si="6"/>
        <v/>
      </c>
      <c r="E99" s="84"/>
      <c r="F99" s="126" t="str">
        <f t="shared" si="7"/>
        <v/>
      </c>
      <c r="G99" s="75"/>
      <c r="H99" s="106"/>
      <c r="I99" s="106"/>
      <c r="J99" s="106"/>
      <c r="K99" s="103"/>
      <c r="L99" s="124"/>
      <c r="M99" s="12" t="b">
        <f t="shared" si="8"/>
        <v>0</v>
      </c>
    </row>
    <row r="100" spans="2:13" ht="22.5">
      <c r="B100" s="26">
        <v>88</v>
      </c>
      <c r="C100" s="77"/>
      <c r="D100" s="69" t="str">
        <f t="shared" si="6"/>
        <v/>
      </c>
      <c r="E100" s="84"/>
      <c r="F100" s="126" t="str">
        <f t="shared" si="7"/>
        <v/>
      </c>
      <c r="G100" s="75"/>
      <c r="H100" s="106"/>
      <c r="I100" s="106"/>
      <c r="J100" s="106"/>
      <c r="K100" s="103"/>
      <c r="L100" s="124"/>
      <c r="M100" s="12" t="b">
        <f t="shared" si="8"/>
        <v>0</v>
      </c>
    </row>
    <row r="101" spans="2:13" ht="22.5">
      <c r="B101" s="26">
        <v>89</v>
      </c>
      <c r="C101" s="77"/>
      <c r="D101" s="69" t="str">
        <f t="shared" si="6"/>
        <v/>
      </c>
      <c r="E101" s="84"/>
      <c r="F101" s="126" t="str">
        <f t="shared" si="7"/>
        <v/>
      </c>
      <c r="G101" s="75"/>
      <c r="H101" s="106"/>
      <c r="I101" s="106"/>
      <c r="J101" s="106"/>
      <c r="K101" s="103"/>
      <c r="L101" s="124"/>
      <c r="M101" s="12" t="b">
        <f t="shared" si="8"/>
        <v>0</v>
      </c>
    </row>
    <row r="102" spans="2:13" ht="22.5">
      <c r="B102" s="26">
        <v>90</v>
      </c>
      <c r="C102" s="77"/>
      <c r="D102" s="69" t="str">
        <f t="shared" si="6"/>
        <v/>
      </c>
      <c r="E102" s="84"/>
      <c r="F102" s="126" t="str">
        <f t="shared" si="7"/>
        <v/>
      </c>
      <c r="G102" s="75"/>
      <c r="H102" s="106"/>
      <c r="I102" s="106"/>
      <c r="J102" s="106"/>
      <c r="K102" s="103"/>
      <c r="L102" s="124"/>
      <c r="M102" s="12" t="b">
        <f t="shared" si="8"/>
        <v>0</v>
      </c>
    </row>
    <row r="103" spans="2:13" ht="22.5">
      <c r="B103" s="26">
        <v>91</v>
      </c>
      <c r="C103" s="77"/>
      <c r="D103" s="69" t="str">
        <f t="shared" si="6"/>
        <v/>
      </c>
      <c r="E103" s="84"/>
      <c r="F103" s="126" t="str">
        <f t="shared" si="7"/>
        <v/>
      </c>
      <c r="G103" s="75"/>
      <c r="H103" s="106"/>
      <c r="I103" s="106"/>
      <c r="J103" s="106"/>
      <c r="K103" s="103"/>
      <c r="L103" s="124"/>
      <c r="M103" s="12" t="b">
        <f t="shared" si="8"/>
        <v>0</v>
      </c>
    </row>
    <row r="104" spans="2:13" ht="22.5">
      <c r="B104" s="26">
        <v>92</v>
      </c>
      <c r="C104" s="77"/>
      <c r="D104" s="69" t="str">
        <f t="shared" si="6"/>
        <v/>
      </c>
      <c r="E104" s="84"/>
      <c r="F104" s="126" t="str">
        <f t="shared" si="7"/>
        <v/>
      </c>
      <c r="G104" s="75"/>
      <c r="H104" s="106"/>
      <c r="I104" s="106"/>
      <c r="J104" s="106"/>
      <c r="K104" s="103"/>
      <c r="L104" s="124"/>
      <c r="M104" s="12" t="b">
        <f t="shared" si="8"/>
        <v>0</v>
      </c>
    </row>
    <row r="105" spans="2:13" ht="22.5">
      <c r="B105" s="26">
        <v>93</v>
      </c>
      <c r="C105" s="77"/>
      <c r="D105" s="69" t="str">
        <f t="shared" si="6"/>
        <v/>
      </c>
      <c r="E105" s="84"/>
      <c r="F105" s="126" t="str">
        <f t="shared" si="7"/>
        <v/>
      </c>
      <c r="G105" s="75"/>
      <c r="H105" s="106"/>
      <c r="I105" s="106"/>
      <c r="J105" s="106"/>
      <c r="K105" s="103"/>
      <c r="L105" s="124"/>
      <c r="M105" s="12" t="b">
        <f t="shared" si="8"/>
        <v>0</v>
      </c>
    </row>
    <row r="106" spans="2:13" ht="22.5">
      <c r="B106" s="26">
        <v>94</v>
      </c>
      <c r="C106" s="77"/>
      <c r="D106" s="69" t="str">
        <f t="shared" si="6"/>
        <v/>
      </c>
      <c r="E106" s="84"/>
      <c r="F106" s="126" t="str">
        <f t="shared" si="7"/>
        <v/>
      </c>
      <c r="G106" s="75"/>
      <c r="H106" s="106"/>
      <c r="I106" s="106"/>
      <c r="J106" s="106"/>
      <c r="K106" s="103"/>
      <c r="L106" s="124"/>
      <c r="M106" s="12" t="b">
        <f t="shared" si="8"/>
        <v>0</v>
      </c>
    </row>
    <row r="107" spans="2:13" ht="22.5">
      <c r="B107" s="26">
        <v>95</v>
      </c>
      <c r="C107" s="77"/>
      <c r="D107" s="69" t="str">
        <f t="shared" si="6"/>
        <v/>
      </c>
      <c r="E107" s="84"/>
      <c r="F107" s="126" t="str">
        <f t="shared" si="7"/>
        <v/>
      </c>
      <c r="G107" s="75"/>
      <c r="H107" s="106"/>
      <c r="I107" s="106"/>
      <c r="J107" s="106"/>
      <c r="K107" s="103"/>
      <c r="L107" s="124"/>
      <c r="M107" s="12" t="b">
        <f t="shared" si="8"/>
        <v>0</v>
      </c>
    </row>
    <row r="108" spans="2:13" ht="22.5">
      <c r="B108" s="26">
        <v>96</v>
      </c>
      <c r="C108" s="77"/>
      <c r="D108" s="69" t="str">
        <f t="shared" si="6"/>
        <v/>
      </c>
      <c r="E108" s="84"/>
      <c r="F108" s="126" t="str">
        <f t="shared" si="7"/>
        <v/>
      </c>
      <c r="G108" s="75"/>
      <c r="H108" s="106"/>
      <c r="I108" s="106"/>
      <c r="J108" s="106"/>
      <c r="K108" s="103"/>
      <c r="L108" s="124"/>
      <c r="M108" s="12" t="b">
        <f t="shared" si="8"/>
        <v>0</v>
      </c>
    </row>
    <row r="109" spans="2:13" ht="22.5">
      <c r="B109" s="26">
        <v>97</v>
      </c>
      <c r="C109" s="77"/>
      <c r="D109" s="69" t="str">
        <f t="shared" si="6"/>
        <v/>
      </c>
      <c r="E109" s="84"/>
      <c r="F109" s="126" t="str">
        <f t="shared" si="7"/>
        <v/>
      </c>
      <c r="G109" s="75"/>
      <c r="H109" s="106"/>
      <c r="I109" s="106"/>
      <c r="J109" s="106"/>
      <c r="K109" s="103"/>
      <c r="L109" s="124"/>
      <c r="M109" s="12" t="b">
        <f t="shared" si="8"/>
        <v>0</v>
      </c>
    </row>
    <row r="110" spans="2:13" ht="22.5">
      <c r="B110" s="26">
        <v>98</v>
      </c>
      <c r="C110" s="77"/>
      <c r="D110" s="69" t="str">
        <f t="shared" si="6"/>
        <v/>
      </c>
      <c r="E110" s="84"/>
      <c r="F110" s="126" t="str">
        <f t="shared" si="7"/>
        <v/>
      </c>
      <c r="G110" s="75"/>
      <c r="H110" s="106"/>
      <c r="I110" s="106"/>
      <c r="J110" s="106"/>
      <c r="K110" s="103"/>
      <c r="L110" s="124"/>
      <c r="M110" s="12" t="b">
        <f t="shared" si="8"/>
        <v>0</v>
      </c>
    </row>
    <row r="111" spans="2:13" ht="22.5">
      <c r="B111" s="26">
        <v>99</v>
      </c>
      <c r="C111" s="77"/>
      <c r="D111" s="69" t="str">
        <f t="shared" si="6"/>
        <v/>
      </c>
      <c r="E111" s="84"/>
      <c r="F111" s="126" t="str">
        <f t="shared" si="7"/>
        <v/>
      </c>
      <c r="G111" s="75"/>
      <c r="H111" s="106"/>
      <c r="I111" s="106"/>
      <c r="J111" s="106"/>
      <c r="K111" s="103"/>
      <c r="L111" s="124"/>
      <c r="M111" s="12" t="b">
        <f t="shared" si="8"/>
        <v>0</v>
      </c>
    </row>
    <row r="112" spans="2:13" ht="22.5">
      <c r="B112" s="26">
        <v>100</v>
      </c>
      <c r="C112" s="77"/>
      <c r="D112" s="69" t="str">
        <f t="shared" si="6"/>
        <v/>
      </c>
      <c r="E112" s="84"/>
      <c r="F112" s="126" t="str">
        <f t="shared" si="7"/>
        <v/>
      </c>
      <c r="G112" s="75"/>
      <c r="H112" s="106"/>
      <c r="I112" s="106"/>
      <c r="J112" s="106"/>
      <c r="K112" s="103"/>
      <c r="L112" s="124"/>
      <c r="M112" s="12" t="b">
        <f t="shared" si="8"/>
        <v>0</v>
      </c>
    </row>
    <row r="113" spans="2:13" ht="22.5">
      <c r="B113" s="26">
        <v>101</v>
      </c>
      <c r="C113" s="77"/>
      <c r="D113" s="69" t="str">
        <f t="shared" si="6"/>
        <v/>
      </c>
      <c r="E113" s="84"/>
      <c r="F113" s="126" t="str">
        <f t="shared" si="7"/>
        <v/>
      </c>
      <c r="G113" s="75"/>
      <c r="H113" s="106"/>
      <c r="I113" s="106"/>
      <c r="J113" s="106"/>
      <c r="K113" s="103"/>
      <c r="L113" s="124"/>
      <c r="M113" s="12" t="b">
        <f t="shared" si="8"/>
        <v>0</v>
      </c>
    </row>
    <row r="114" spans="2:13" ht="22.5">
      <c r="B114" s="26">
        <v>102</v>
      </c>
      <c r="C114" s="77"/>
      <c r="D114" s="69" t="str">
        <f t="shared" si="6"/>
        <v/>
      </c>
      <c r="E114" s="84"/>
      <c r="F114" s="126" t="str">
        <f t="shared" si="7"/>
        <v/>
      </c>
      <c r="G114" s="75"/>
      <c r="H114" s="106"/>
      <c r="I114" s="106"/>
      <c r="J114" s="106"/>
      <c r="K114" s="103"/>
      <c r="L114" s="124"/>
      <c r="M114" s="12" t="b">
        <f t="shared" si="8"/>
        <v>0</v>
      </c>
    </row>
    <row r="115" spans="2:13" ht="22.5">
      <c r="B115" s="26">
        <v>103</v>
      </c>
      <c r="C115" s="77"/>
      <c r="D115" s="69" t="str">
        <f t="shared" si="6"/>
        <v/>
      </c>
      <c r="E115" s="84"/>
      <c r="F115" s="126" t="str">
        <f t="shared" si="7"/>
        <v/>
      </c>
      <c r="G115" s="75"/>
      <c r="H115" s="106"/>
      <c r="I115" s="106"/>
      <c r="J115" s="106"/>
      <c r="K115" s="103"/>
      <c r="L115" s="124"/>
      <c r="M115" s="12" t="b">
        <f t="shared" si="8"/>
        <v>0</v>
      </c>
    </row>
    <row r="116" spans="2:13" ht="22.5">
      <c r="B116" s="26">
        <v>104</v>
      </c>
      <c r="C116" s="77"/>
      <c r="D116" s="69" t="str">
        <f t="shared" si="6"/>
        <v/>
      </c>
      <c r="E116" s="84"/>
      <c r="F116" s="126" t="str">
        <f t="shared" si="7"/>
        <v/>
      </c>
      <c r="G116" s="75"/>
      <c r="H116" s="106"/>
      <c r="I116" s="106"/>
      <c r="J116" s="106"/>
      <c r="K116" s="103"/>
      <c r="L116" s="124"/>
      <c r="M116" s="12" t="b">
        <f t="shared" si="8"/>
        <v>0</v>
      </c>
    </row>
    <row r="117" spans="2:13" ht="22.5">
      <c r="B117" s="26">
        <v>105</v>
      </c>
      <c r="C117" s="77"/>
      <c r="D117" s="69" t="str">
        <f t="shared" si="6"/>
        <v/>
      </c>
      <c r="E117" s="84"/>
      <c r="F117" s="126" t="str">
        <f t="shared" si="7"/>
        <v/>
      </c>
      <c r="G117" s="75"/>
      <c r="H117" s="106"/>
      <c r="I117" s="106"/>
      <c r="J117" s="106"/>
      <c r="K117" s="103"/>
      <c r="L117" s="124"/>
      <c r="M117" s="12" t="b">
        <f t="shared" si="8"/>
        <v>0</v>
      </c>
    </row>
    <row r="118" spans="2:13" ht="22.5">
      <c r="B118" s="26">
        <v>106</v>
      </c>
      <c r="C118" s="77"/>
      <c r="D118" s="69" t="str">
        <f t="shared" si="6"/>
        <v/>
      </c>
      <c r="E118" s="84"/>
      <c r="F118" s="126" t="str">
        <f t="shared" si="7"/>
        <v/>
      </c>
      <c r="G118" s="75"/>
      <c r="H118" s="106"/>
      <c r="I118" s="106"/>
      <c r="J118" s="106"/>
      <c r="K118" s="103"/>
      <c r="L118" s="124"/>
      <c r="M118" s="12" t="b">
        <f t="shared" si="8"/>
        <v>0</v>
      </c>
    </row>
    <row r="119" spans="2:13" ht="22.5">
      <c r="B119" s="26">
        <v>107</v>
      </c>
      <c r="C119" s="77"/>
      <c r="D119" s="69" t="str">
        <f t="shared" si="6"/>
        <v/>
      </c>
      <c r="E119" s="84"/>
      <c r="F119" s="126" t="str">
        <f t="shared" si="7"/>
        <v/>
      </c>
      <c r="G119" s="75"/>
      <c r="H119" s="106"/>
      <c r="I119" s="106"/>
      <c r="J119" s="106"/>
      <c r="K119" s="103"/>
      <c r="L119" s="124"/>
      <c r="M119" s="12" t="b">
        <f t="shared" si="8"/>
        <v>0</v>
      </c>
    </row>
    <row r="120" spans="2:13" ht="22.5">
      <c r="B120" s="26">
        <v>108</v>
      </c>
      <c r="C120" s="77"/>
      <c r="D120" s="69" t="str">
        <f t="shared" si="6"/>
        <v/>
      </c>
      <c r="E120" s="84"/>
      <c r="F120" s="126" t="str">
        <f t="shared" si="7"/>
        <v/>
      </c>
      <c r="G120" s="75"/>
      <c r="H120" s="106"/>
      <c r="I120" s="106"/>
      <c r="J120" s="106"/>
      <c r="K120" s="103"/>
      <c r="L120" s="124"/>
      <c r="M120" s="12" t="b">
        <f t="shared" si="8"/>
        <v>0</v>
      </c>
    </row>
    <row r="121" spans="2:13" ht="22.5">
      <c r="B121" s="26">
        <v>109</v>
      </c>
      <c r="C121" s="77"/>
      <c r="D121" s="69" t="str">
        <f t="shared" si="6"/>
        <v/>
      </c>
      <c r="E121" s="84"/>
      <c r="F121" s="126" t="str">
        <f t="shared" si="7"/>
        <v/>
      </c>
      <c r="G121" s="75"/>
      <c r="H121" s="106"/>
      <c r="I121" s="106"/>
      <c r="J121" s="106"/>
      <c r="K121" s="103"/>
      <c r="L121" s="124"/>
      <c r="M121" s="12" t="b">
        <f t="shared" si="8"/>
        <v>0</v>
      </c>
    </row>
    <row r="122" spans="2:13" ht="22.5">
      <c r="B122" s="26">
        <v>110</v>
      </c>
      <c r="C122" s="77"/>
      <c r="D122" s="69" t="str">
        <f t="shared" si="6"/>
        <v/>
      </c>
      <c r="E122" s="84"/>
      <c r="F122" s="126" t="str">
        <f t="shared" si="7"/>
        <v/>
      </c>
      <c r="G122" s="75"/>
      <c r="H122" s="106"/>
      <c r="I122" s="106"/>
      <c r="J122" s="106"/>
      <c r="K122" s="103"/>
      <c r="L122" s="124"/>
      <c r="M122" s="12" t="b">
        <f t="shared" si="8"/>
        <v>0</v>
      </c>
    </row>
    <row r="123" spans="2:13" ht="22.5">
      <c r="B123" s="26">
        <v>111</v>
      </c>
      <c r="C123" s="77"/>
      <c r="D123" s="69" t="str">
        <f t="shared" si="6"/>
        <v/>
      </c>
      <c r="E123" s="84"/>
      <c r="F123" s="126" t="str">
        <f t="shared" si="7"/>
        <v/>
      </c>
      <c r="G123" s="75"/>
      <c r="H123" s="106"/>
      <c r="I123" s="106"/>
      <c r="J123" s="106"/>
      <c r="K123" s="103"/>
      <c r="L123" s="124"/>
      <c r="M123" s="12" t="b">
        <f t="shared" si="8"/>
        <v>0</v>
      </c>
    </row>
    <row r="124" spans="2:13" ht="22.5">
      <c r="B124" s="26">
        <v>112</v>
      </c>
      <c r="C124" s="77"/>
      <c r="D124" s="69" t="str">
        <f t="shared" si="6"/>
        <v/>
      </c>
      <c r="E124" s="84"/>
      <c r="F124" s="126" t="str">
        <f t="shared" si="7"/>
        <v/>
      </c>
      <c r="G124" s="75"/>
      <c r="H124" s="106"/>
      <c r="I124" s="106"/>
      <c r="J124" s="106"/>
      <c r="K124" s="103"/>
      <c r="L124" s="124"/>
      <c r="M124" s="12" t="b">
        <f t="shared" si="8"/>
        <v>0</v>
      </c>
    </row>
    <row r="125" spans="2:13" ht="22.5">
      <c r="B125" s="26">
        <v>113</v>
      </c>
      <c r="C125" s="77"/>
      <c r="D125" s="69" t="str">
        <f t="shared" si="6"/>
        <v/>
      </c>
      <c r="E125" s="84"/>
      <c r="F125" s="126" t="str">
        <f t="shared" si="7"/>
        <v/>
      </c>
      <c r="G125" s="75"/>
      <c r="H125" s="106"/>
      <c r="I125" s="106"/>
      <c r="J125" s="106"/>
      <c r="K125" s="103"/>
      <c r="L125" s="124"/>
      <c r="M125" s="12" t="b">
        <f t="shared" si="8"/>
        <v>0</v>
      </c>
    </row>
    <row r="126" spans="2:13" ht="22.5">
      <c r="B126" s="26">
        <v>114</v>
      </c>
      <c r="C126" s="77"/>
      <c r="D126" s="69" t="str">
        <f t="shared" si="6"/>
        <v/>
      </c>
      <c r="E126" s="84"/>
      <c r="F126" s="126" t="str">
        <f t="shared" si="7"/>
        <v/>
      </c>
      <c r="G126" s="75"/>
      <c r="H126" s="106"/>
      <c r="I126" s="106"/>
      <c r="J126" s="106"/>
      <c r="K126" s="103"/>
      <c r="L126" s="124"/>
      <c r="M126" s="12" t="b">
        <f t="shared" si="8"/>
        <v>0</v>
      </c>
    </row>
    <row r="127" spans="2:13" ht="22.5">
      <c r="B127" s="26">
        <v>115</v>
      </c>
      <c r="C127" s="77"/>
      <c r="D127" s="69" t="str">
        <f t="shared" si="6"/>
        <v/>
      </c>
      <c r="E127" s="84"/>
      <c r="F127" s="126" t="str">
        <f t="shared" si="7"/>
        <v/>
      </c>
      <c r="G127" s="75"/>
      <c r="H127" s="106"/>
      <c r="I127" s="106"/>
      <c r="J127" s="106"/>
      <c r="K127" s="103"/>
      <c r="L127" s="124"/>
      <c r="M127" s="12" t="b">
        <f t="shared" si="8"/>
        <v>0</v>
      </c>
    </row>
    <row r="128" spans="2:13" ht="22.5">
      <c r="B128" s="26">
        <v>116</v>
      </c>
      <c r="C128" s="77"/>
      <c r="D128" s="69" t="str">
        <f t="shared" si="6"/>
        <v/>
      </c>
      <c r="E128" s="84"/>
      <c r="F128" s="126" t="str">
        <f t="shared" si="7"/>
        <v/>
      </c>
      <c r="G128" s="75"/>
      <c r="H128" s="106"/>
      <c r="I128" s="106"/>
      <c r="J128" s="106"/>
      <c r="K128" s="103"/>
      <c r="L128" s="124"/>
      <c r="M128" s="12" t="b">
        <f t="shared" si="8"/>
        <v>0</v>
      </c>
    </row>
    <row r="129" spans="2:13" ht="22.5">
      <c r="B129" s="26">
        <v>117</v>
      </c>
      <c r="C129" s="77"/>
      <c r="D129" s="69" t="str">
        <f t="shared" si="6"/>
        <v/>
      </c>
      <c r="E129" s="84"/>
      <c r="F129" s="126" t="str">
        <f t="shared" si="7"/>
        <v/>
      </c>
      <c r="G129" s="75"/>
      <c r="H129" s="106"/>
      <c r="I129" s="106"/>
      <c r="J129" s="106"/>
      <c r="K129" s="103"/>
      <c r="L129" s="124"/>
      <c r="M129" s="12" t="b">
        <f t="shared" si="8"/>
        <v>0</v>
      </c>
    </row>
    <row r="130" spans="2:13" ht="22.5">
      <c r="B130" s="26">
        <v>118</v>
      </c>
      <c r="C130" s="77"/>
      <c r="D130" s="69" t="str">
        <f t="shared" si="6"/>
        <v/>
      </c>
      <c r="E130" s="84"/>
      <c r="F130" s="126" t="str">
        <f t="shared" si="7"/>
        <v/>
      </c>
      <c r="G130" s="75"/>
      <c r="H130" s="106"/>
      <c r="I130" s="106"/>
      <c r="J130" s="106"/>
      <c r="K130" s="103"/>
      <c r="L130" s="124"/>
      <c r="M130" s="12" t="b">
        <f t="shared" si="8"/>
        <v>0</v>
      </c>
    </row>
    <row r="131" spans="2:13" ht="22.5">
      <c r="B131" s="26">
        <v>119</v>
      </c>
      <c r="C131" s="77"/>
      <c r="D131" s="69" t="str">
        <f t="shared" si="6"/>
        <v/>
      </c>
      <c r="E131" s="84"/>
      <c r="F131" s="126" t="str">
        <f t="shared" si="7"/>
        <v/>
      </c>
      <c r="G131" s="75"/>
      <c r="H131" s="106"/>
      <c r="I131" s="106"/>
      <c r="J131" s="106"/>
      <c r="K131" s="103"/>
      <c r="L131" s="124"/>
      <c r="M131" s="12" t="b">
        <f t="shared" si="8"/>
        <v>0</v>
      </c>
    </row>
    <row r="132" spans="2:13" ht="22.5">
      <c r="B132" s="26">
        <v>120</v>
      </c>
      <c r="C132" s="77"/>
      <c r="D132" s="69" t="str">
        <f t="shared" si="6"/>
        <v/>
      </c>
      <c r="E132" s="84"/>
      <c r="F132" s="126" t="str">
        <f t="shared" si="7"/>
        <v/>
      </c>
      <c r="G132" s="75"/>
      <c r="H132" s="106"/>
      <c r="I132" s="106"/>
      <c r="J132" s="106"/>
      <c r="K132" s="103"/>
      <c r="L132" s="124"/>
      <c r="M132" s="12" t="b">
        <f t="shared" si="8"/>
        <v>0</v>
      </c>
    </row>
    <row r="133" spans="2:13" ht="22.5">
      <c r="B133" s="26">
        <v>121</v>
      </c>
      <c r="C133" s="77"/>
      <c r="D133" s="69" t="str">
        <f t="shared" si="6"/>
        <v/>
      </c>
      <c r="E133" s="84"/>
      <c r="F133" s="126" t="str">
        <f t="shared" si="7"/>
        <v/>
      </c>
      <c r="G133" s="75"/>
      <c r="H133" s="106"/>
      <c r="I133" s="106"/>
      <c r="J133" s="106"/>
      <c r="K133" s="103"/>
      <c r="L133" s="124"/>
      <c r="M133" s="12" t="b">
        <f t="shared" si="8"/>
        <v>0</v>
      </c>
    </row>
    <row r="134" spans="2:13" ht="22.5">
      <c r="B134" s="26">
        <v>122</v>
      </c>
      <c r="C134" s="77"/>
      <c r="D134" s="69" t="str">
        <f t="shared" si="6"/>
        <v/>
      </c>
      <c r="E134" s="84"/>
      <c r="F134" s="126" t="str">
        <f t="shared" si="7"/>
        <v/>
      </c>
      <c r="G134" s="75"/>
      <c r="H134" s="106"/>
      <c r="I134" s="106"/>
      <c r="J134" s="106"/>
      <c r="K134" s="103"/>
      <c r="L134" s="124"/>
      <c r="M134" s="12" t="b">
        <f t="shared" si="8"/>
        <v>0</v>
      </c>
    </row>
    <row r="135" spans="2:13" ht="22.5">
      <c r="B135" s="26">
        <v>123</v>
      </c>
      <c r="C135" s="77"/>
      <c r="D135" s="69" t="str">
        <f t="shared" si="6"/>
        <v/>
      </c>
      <c r="E135" s="84"/>
      <c r="F135" s="126" t="str">
        <f t="shared" si="7"/>
        <v/>
      </c>
      <c r="G135" s="75"/>
      <c r="H135" s="106"/>
      <c r="I135" s="106"/>
      <c r="J135" s="106"/>
      <c r="K135" s="103"/>
      <c r="L135" s="124"/>
      <c r="M135" s="12" t="b">
        <f t="shared" si="8"/>
        <v>0</v>
      </c>
    </row>
    <row r="136" spans="2:13" ht="22.5">
      <c r="B136" s="26">
        <v>124</v>
      </c>
      <c r="C136" s="77"/>
      <c r="D136" s="69" t="str">
        <f t="shared" si="6"/>
        <v/>
      </c>
      <c r="E136" s="84"/>
      <c r="F136" s="126" t="str">
        <f t="shared" si="7"/>
        <v/>
      </c>
      <c r="G136" s="75"/>
      <c r="H136" s="106"/>
      <c r="I136" s="106"/>
      <c r="J136" s="106"/>
      <c r="K136" s="103"/>
      <c r="L136" s="124"/>
      <c r="M136" s="12" t="b">
        <f t="shared" si="8"/>
        <v>0</v>
      </c>
    </row>
    <row r="137" spans="2:13" ht="22.5">
      <c r="B137" s="26">
        <v>125</v>
      </c>
      <c r="C137" s="77"/>
      <c r="D137" s="69" t="str">
        <f t="shared" si="6"/>
        <v/>
      </c>
      <c r="E137" s="84"/>
      <c r="F137" s="126" t="str">
        <f t="shared" si="7"/>
        <v/>
      </c>
      <c r="G137" s="75"/>
      <c r="H137" s="106"/>
      <c r="I137" s="106"/>
      <c r="J137" s="106"/>
      <c r="K137" s="103"/>
      <c r="L137" s="124"/>
      <c r="M137" s="12" t="b">
        <f t="shared" si="8"/>
        <v>0</v>
      </c>
    </row>
    <row r="138" spans="2:13" ht="22.5">
      <c r="B138" s="26">
        <v>126</v>
      </c>
      <c r="C138" s="77"/>
      <c r="D138" s="69" t="str">
        <f t="shared" si="6"/>
        <v/>
      </c>
      <c r="E138" s="84"/>
      <c r="F138" s="126" t="str">
        <f t="shared" si="7"/>
        <v/>
      </c>
      <c r="G138" s="75"/>
      <c r="H138" s="106"/>
      <c r="I138" s="106"/>
      <c r="J138" s="106"/>
      <c r="K138" s="103"/>
      <c r="L138" s="124"/>
      <c r="M138" s="12" t="b">
        <f t="shared" si="8"/>
        <v>0</v>
      </c>
    </row>
    <row r="139" spans="2:13" ht="22.5">
      <c r="B139" s="26">
        <v>127</v>
      </c>
      <c r="C139" s="77"/>
      <c r="D139" s="69" t="str">
        <f t="shared" si="6"/>
        <v/>
      </c>
      <c r="E139" s="84"/>
      <c r="F139" s="126" t="str">
        <f t="shared" si="7"/>
        <v/>
      </c>
      <c r="G139" s="75"/>
      <c r="H139" s="106"/>
      <c r="I139" s="106"/>
      <c r="J139" s="106"/>
      <c r="K139" s="103"/>
      <c r="L139" s="124"/>
      <c r="M139" s="12" t="b">
        <f t="shared" si="8"/>
        <v>0</v>
      </c>
    </row>
    <row r="140" spans="2:13" ht="22.5">
      <c r="B140" s="26">
        <v>128</v>
      </c>
      <c r="C140" s="77"/>
      <c r="D140" s="69" t="str">
        <f t="shared" si="6"/>
        <v/>
      </c>
      <c r="E140" s="84"/>
      <c r="F140" s="126" t="str">
        <f t="shared" si="7"/>
        <v/>
      </c>
      <c r="G140" s="75"/>
      <c r="H140" s="106"/>
      <c r="I140" s="106"/>
      <c r="J140" s="106"/>
      <c r="K140" s="103"/>
      <c r="L140" s="124"/>
      <c r="M140" s="12" t="b">
        <f t="shared" si="8"/>
        <v>0</v>
      </c>
    </row>
    <row r="141" spans="2:13" ht="22.5">
      <c r="B141" s="26">
        <v>129</v>
      </c>
      <c r="C141" s="77"/>
      <c r="D141" s="69" t="str">
        <f t="shared" si="6"/>
        <v/>
      </c>
      <c r="E141" s="84"/>
      <c r="F141" s="126" t="str">
        <f t="shared" si="7"/>
        <v/>
      </c>
      <c r="G141" s="75"/>
      <c r="H141" s="106"/>
      <c r="I141" s="106"/>
      <c r="J141" s="106"/>
      <c r="K141" s="103"/>
      <c r="L141" s="124"/>
      <c r="M141" s="12" t="b">
        <f t="shared" si="8"/>
        <v>0</v>
      </c>
    </row>
    <row r="142" spans="2:13" ht="22.5">
      <c r="B142" s="26">
        <v>130</v>
      </c>
      <c r="C142" s="77"/>
      <c r="D142" s="69" t="str">
        <f t="shared" ref="D142:D205" si="9">IF(LEN(E142)=0,"",IF((AND(ISNUMBER(VALUE(E142)),LEN(E142)=12)),3,IF(AND(ISNUMBER(VALUE(E142)),(LEN(E142)=10)),1,IF(AND(OR((LEFT(E142)="R"),(LEFT(E142)="R")),(ISNUMBER(VALUE(RIGHT(E142,9)))),(LEN(E142)=10)),2,FALSE))))</f>
        <v/>
      </c>
      <c r="E142" s="84"/>
      <c r="F142" s="126" t="str">
        <f t="shared" ref="F142:F205" si="10">IF(D142=FALSE,"←ご確認ください",IF(OR(D142=1,D142=2,D142=3),"形式OK",""))</f>
        <v/>
      </c>
      <c r="G142" s="75"/>
      <c r="H142" s="106"/>
      <c r="I142" s="106"/>
      <c r="J142" s="106"/>
      <c r="K142" s="103"/>
      <c r="L142" s="124"/>
      <c r="M142" s="12" t="b">
        <f t="shared" ref="M142:M205" si="11">IF(COUNTA(E142,G142)=0,FALSE,TRUE)</f>
        <v>0</v>
      </c>
    </row>
    <row r="143" spans="2:13" ht="22.5">
      <c r="B143" s="26">
        <v>131</v>
      </c>
      <c r="C143" s="77"/>
      <c r="D143" s="69" t="str">
        <f t="shared" si="9"/>
        <v/>
      </c>
      <c r="E143" s="84"/>
      <c r="F143" s="126" t="str">
        <f t="shared" si="10"/>
        <v/>
      </c>
      <c r="G143" s="75"/>
      <c r="H143" s="106"/>
      <c r="I143" s="106"/>
      <c r="J143" s="106"/>
      <c r="K143" s="103"/>
      <c r="L143" s="124"/>
      <c r="M143" s="12" t="b">
        <f t="shared" si="11"/>
        <v>0</v>
      </c>
    </row>
    <row r="144" spans="2:13" ht="22.5">
      <c r="B144" s="26">
        <v>132</v>
      </c>
      <c r="C144" s="77"/>
      <c r="D144" s="69" t="str">
        <f t="shared" si="9"/>
        <v/>
      </c>
      <c r="E144" s="84"/>
      <c r="F144" s="126" t="str">
        <f t="shared" si="10"/>
        <v/>
      </c>
      <c r="G144" s="75"/>
      <c r="H144" s="106"/>
      <c r="I144" s="106"/>
      <c r="J144" s="106"/>
      <c r="K144" s="103"/>
      <c r="L144" s="124"/>
      <c r="M144" s="12" t="b">
        <f t="shared" si="11"/>
        <v>0</v>
      </c>
    </row>
    <row r="145" spans="2:13" ht="22.5">
      <c r="B145" s="26">
        <v>133</v>
      </c>
      <c r="C145" s="77"/>
      <c r="D145" s="69" t="str">
        <f t="shared" si="9"/>
        <v/>
      </c>
      <c r="E145" s="84"/>
      <c r="F145" s="126" t="str">
        <f t="shared" si="10"/>
        <v/>
      </c>
      <c r="G145" s="75"/>
      <c r="H145" s="106"/>
      <c r="I145" s="106"/>
      <c r="J145" s="106"/>
      <c r="K145" s="103"/>
      <c r="L145" s="124"/>
      <c r="M145" s="12" t="b">
        <f t="shared" si="11"/>
        <v>0</v>
      </c>
    </row>
    <row r="146" spans="2:13" ht="22.5">
      <c r="B146" s="26">
        <v>134</v>
      </c>
      <c r="C146" s="77"/>
      <c r="D146" s="69" t="str">
        <f t="shared" si="9"/>
        <v/>
      </c>
      <c r="E146" s="84"/>
      <c r="F146" s="126" t="str">
        <f t="shared" si="10"/>
        <v/>
      </c>
      <c r="G146" s="75"/>
      <c r="H146" s="106"/>
      <c r="I146" s="106"/>
      <c r="J146" s="106"/>
      <c r="K146" s="103"/>
      <c r="L146" s="124"/>
      <c r="M146" s="12" t="b">
        <f t="shared" si="11"/>
        <v>0</v>
      </c>
    </row>
    <row r="147" spans="2:13" ht="22.5">
      <c r="B147" s="26">
        <v>135</v>
      </c>
      <c r="C147" s="77"/>
      <c r="D147" s="69" t="str">
        <f t="shared" si="9"/>
        <v/>
      </c>
      <c r="E147" s="84"/>
      <c r="F147" s="126" t="str">
        <f t="shared" si="10"/>
        <v/>
      </c>
      <c r="G147" s="75"/>
      <c r="H147" s="106"/>
      <c r="I147" s="106"/>
      <c r="J147" s="106"/>
      <c r="K147" s="103"/>
      <c r="L147" s="124"/>
      <c r="M147" s="12" t="b">
        <f t="shared" si="11"/>
        <v>0</v>
      </c>
    </row>
    <row r="148" spans="2:13" ht="22.5">
      <c r="B148" s="26">
        <v>136</v>
      </c>
      <c r="C148" s="77"/>
      <c r="D148" s="69" t="str">
        <f t="shared" si="9"/>
        <v/>
      </c>
      <c r="E148" s="84"/>
      <c r="F148" s="126" t="str">
        <f t="shared" si="10"/>
        <v/>
      </c>
      <c r="G148" s="75"/>
      <c r="H148" s="106"/>
      <c r="I148" s="106"/>
      <c r="J148" s="106"/>
      <c r="K148" s="103"/>
      <c r="L148" s="124"/>
      <c r="M148" s="12" t="b">
        <f t="shared" si="11"/>
        <v>0</v>
      </c>
    </row>
    <row r="149" spans="2:13" ht="22.5">
      <c r="B149" s="26">
        <v>137</v>
      </c>
      <c r="C149" s="77"/>
      <c r="D149" s="69" t="str">
        <f t="shared" si="9"/>
        <v/>
      </c>
      <c r="E149" s="84"/>
      <c r="F149" s="126" t="str">
        <f t="shared" si="10"/>
        <v/>
      </c>
      <c r="G149" s="75"/>
      <c r="H149" s="106"/>
      <c r="I149" s="106"/>
      <c r="J149" s="106"/>
      <c r="K149" s="103"/>
      <c r="L149" s="124"/>
      <c r="M149" s="12" t="b">
        <f t="shared" si="11"/>
        <v>0</v>
      </c>
    </row>
    <row r="150" spans="2:13" ht="22.5">
      <c r="B150" s="26">
        <v>138</v>
      </c>
      <c r="C150" s="77"/>
      <c r="D150" s="69" t="str">
        <f t="shared" si="9"/>
        <v/>
      </c>
      <c r="E150" s="84"/>
      <c r="F150" s="126" t="str">
        <f t="shared" si="10"/>
        <v/>
      </c>
      <c r="G150" s="75"/>
      <c r="H150" s="106"/>
      <c r="I150" s="106"/>
      <c r="J150" s="106"/>
      <c r="K150" s="103"/>
      <c r="L150" s="124"/>
      <c r="M150" s="12" t="b">
        <f t="shared" si="11"/>
        <v>0</v>
      </c>
    </row>
    <row r="151" spans="2:13" ht="22.5">
      <c r="B151" s="26">
        <v>139</v>
      </c>
      <c r="C151" s="77"/>
      <c r="D151" s="69" t="str">
        <f t="shared" si="9"/>
        <v/>
      </c>
      <c r="E151" s="84"/>
      <c r="F151" s="126" t="str">
        <f t="shared" si="10"/>
        <v/>
      </c>
      <c r="G151" s="75"/>
      <c r="H151" s="106"/>
      <c r="I151" s="106"/>
      <c r="J151" s="106"/>
      <c r="K151" s="103"/>
      <c r="L151" s="124"/>
      <c r="M151" s="12" t="b">
        <f t="shared" si="11"/>
        <v>0</v>
      </c>
    </row>
    <row r="152" spans="2:13" ht="22.5">
      <c r="B152" s="26">
        <v>140</v>
      </c>
      <c r="C152" s="77"/>
      <c r="D152" s="69" t="str">
        <f t="shared" si="9"/>
        <v/>
      </c>
      <c r="E152" s="84"/>
      <c r="F152" s="126" t="str">
        <f t="shared" si="10"/>
        <v/>
      </c>
      <c r="G152" s="75"/>
      <c r="H152" s="106"/>
      <c r="I152" s="106"/>
      <c r="J152" s="106"/>
      <c r="K152" s="103"/>
      <c r="L152" s="124"/>
      <c r="M152" s="12" t="b">
        <f t="shared" si="11"/>
        <v>0</v>
      </c>
    </row>
    <row r="153" spans="2:13" ht="22.5">
      <c r="B153" s="26">
        <v>141</v>
      </c>
      <c r="C153" s="77"/>
      <c r="D153" s="69" t="str">
        <f t="shared" si="9"/>
        <v/>
      </c>
      <c r="E153" s="84"/>
      <c r="F153" s="126" t="str">
        <f t="shared" si="10"/>
        <v/>
      </c>
      <c r="G153" s="75"/>
      <c r="H153" s="106"/>
      <c r="I153" s="106"/>
      <c r="J153" s="106"/>
      <c r="K153" s="103"/>
      <c r="L153" s="124"/>
      <c r="M153" s="12" t="b">
        <f t="shared" si="11"/>
        <v>0</v>
      </c>
    </row>
    <row r="154" spans="2:13" ht="22.5">
      <c r="B154" s="26">
        <v>142</v>
      </c>
      <c r="C154" s="77"/>
      <c r="D154" s="69" t="str">
        <f t="shared" si="9"/>
        <v/>
      </c>
      <c r="E154" s="84"/>
      <c r="F154" s="126" t="str">
        <f t="shared" si="10"/>
        <v/>
      </c>
      <c r="G154" s="75"/>
      <c r="H154" s="106"/>
      <c r="I154" s="106"/>
      <c r="J154" s="106"/>
      <c r="K154" s="103"/>
      <c r="L154" s="124"/>
      <c r="M154" s="12" t="b">
        <f t="shared" si="11"/>
        <v>0</v>
      </c>
    </row>
    <row r="155" spans="2:13" ht="22.5">
      <c r="B155" s="26">
        <v>143</v>
      </c>
      <c r="C155" s="77"/>
      <c r="D155" s="69" t="str">
        <f t="shared" si="9"/>
        <v/>
      </c>
      <c r="E155" s="84"/>
      <c r="F155" s="126" t="str">
        <f t="shared" si="10"/>
        <v/>
      </c>
      <c r="G155" s="75"/>
      <c r="H155" s="106"/>
      <c r="I155" s="106"/>
      <c r="J155" s="106"/>
      <c r="K155" s="103"/>
      <c r="L155" s="124"/>
      <c r="M155" s="12" t="b">
        <f t="shared" si="11"/>
        <v>0</v>
      </c>
    </row>
    <row r="156" spans="2:13" ht="22.5">
      <c r="B156" s="26">
        <v>144</v>
      </c>
      <c r="C156" s="77"/>
      <c r="D156" s="69" t="str">
        <f t="shared" si="9"/>
        <v/>
      </c>
      <c r="E156" s="84"/>
      <c r="F156" s="126" t="str">
        <f t="shared" si="10"/>
        <v/>
      </c>
      <c r="G156" s="75"/>
      <c r="H156" s="106"/>
      <c r="I156" s="106"/>
      <c r="J156" s="106"/>
      <c r="K156" s="103"/>
      <c r="L156" s="124"/>
      <c r="M156" s="12" t="b">
        <f t="shared" si="11"/>
        <v>0</v>
      </c>
    </row>
    <row r="157" spans="2:13" ht="22.5">
      <c r="B157" s="26">
        <v>145</v>
      </c>
      <c r="C157" s="77"/>
      <c r="D157" s="69" t="str">
        <f t="shared" si="9"/>
        <v/>
      </c>
      <c r="E157" s="84"/>
      <c r="F157" s="126" t="str">
        <f t="shared" si="10"/>
        <v/>
      </c>
      <c r="G157" s="75"/>
      <c r="H157" s="106"/>
      <c r="I157" s="106"/>
      <c r="J157" s="106"/>
      <c r="K157" s="103"/>
      <c r="L157" s="124"/>
      <c r="M157" s="12" t="b">
        <f t="shared" si="11"/>
        <v>0</v>
      </c>
    </row>
    <row r="158" spans="2:13" ht="22.5">
      <c r="B158" s="26">
        <v>146</v>
      </c>
      <c r="C158" s="77"/>
      <c r="D158" s="69" t="str">
        <f t="shared" si="9"/>
        <v/>
      </c>
      <c r="E158" s="84"/>
      <c r="F158" s="126" t="str">
        <f t="shared" si="10"/>
        <v/>
      </c>
      <c r="G158" s="75"/>
      <c r="H158" s="106"/>
      <c r="I158" s="106"/>
      <c r="J158" s="106"/>
      <c r="K158" s="103"/>
      <c r="L158" s="124"/>
      <c r="M158" s="12" t="b">
        <f t="shared" si="11"/>
        <v>0</v>
      </c>
    </row>
    <row r="159" spans="2:13" ht="22.5">
      <c r="B159" s="26">
        <v>147</v>
      </c>
      <c r="C159" s="77"/>
      <c r="D159" s="69" t="str">
        <f t="shared" si="9"/>
        <v/>
      </c>
      <c r="E159" s="84"/>
      <c r="F159" s="126" t="str">
        <f t="shared" si="10"/>
        <v/>
      </c>
      <c r="G159" s="75"/>
      <c r="H159" s="106"/>
      <c r="I159" s="106"/>
      <c r="J159" s="106"/>
      <c r="K159" s="103"/>
      <c r="L159" s="124"/>
      <c r="M159" s="12" t="b">
        <f t="shared" si="11"/>
        <v>0</v>
      </c>
    </row>
    <row r="160" spans="2:13" ht="22.5">
      <c r="B160" s="26">
        <v>148</v>
      </c>
      <c r="C160" s="77"/>
      <c r="D160" s="69" t="str">
        <f t="shared" si="9"/>
        <v/>
      </c>
      <c r="E160" s="84"/>
      <c r="F160" s="126" t="str">
        <f t="shared" si="10"/>
        <v/>
      </c>
      <c r="G160" s="75"/>
      <c r="H160" s="106"/>
      <c r="I160" s="106"/>
      <c r="J160" s="106"/>
      <c r="K160" s="103"/>
      <c r="L160" s="124"/>
      <c r="M160" s="12" t="b">
        <f t="shared" si="11"/>
        <v>0</v>
      </c>
    </row>
    <row r="161" spans="2:13" ht="22.5">
      <c r="B161" s="26">
        <v>149</v>
      </c>
      <c r="C161" s="77"/>
      <c r="D161" s="69" t="str">
        <f t="shared" si="9"/>
        <v/>
      </c>
      <c r="E161" s="84"/>
      <c r="F161" s="126" t="str">
        <f t="shared" si="10"/>
        <v/>
      </c>
      <c r="G161" s="75"/>
      <c r="H161" s="106"/>
      <c r="I161" s="106"/>
      <c r="J161" s="106"/>
      <c r="K161" s="103"/>
      <c r="L161" s="124"/>
      <c r="M161" s="12" t="b">
        <f t="shared" si="11"/>
        <v>0</v>
      </c>
    </row>
    <row r="162" spans="2:13" ht="22.5">
      <c r="B162" s="26">
        <v>150</v>
      </c>
      <c r="C162" s="77"/>
      <c r="D162" s="69" t="str">
        <f t="shared" si="9"/>
        <v/>
      </c>
      <c r="E162" s="84"/>
      <c r="F162" s="126" t="str">
        <f t="shared" si="10"/>
        <v/>
      </c>
      <c r="G162" s="75"/>
      <c r="H162" s="106"/>
      <c r="I162" s="106"/>
      <c r="J162" s="106"/>
      <c r="K162" s="103"/>
      <c r="L162" s="124"/>
      <c r="M162" s="12" t="b">
        <f t="shared" si="11"/>
        <v>0</v>
      </c>
    </row>
    <row r="163" spans="2:13" ht="22.5">
      <c r="B163" s="26">
        <v>151</v>
      </c>
      <c r="C163" s="77"/>
      <c r="D163" s="69" t="str">
        <f t="shared" si="9"/>
        <v/>
      </c>
      <c r="E163" s="84"/>
      <c r="F163" s="126" t="str">
        <f t="shared" si="10"/>
        <v/>
      </c>
      <c r="G163" s="75"/>
      <c r="H163" s="106"/>
      <c r="I163" s="106"/>
      <c r="J163" s="106"/>
      <c r="K163" s="103"/>
      <c r="L163" s="124"/>
      <c r="M163" s="12" t="b">
        <f t="shared" si="11"/>
        <v>0</v>
      </c>
    </row>
    <row r="164" spans="2:13" ht="22.5">
      <c r="B164" s="26">
        <v>152</v>
      </c>
      <c r="C164" s="77"/>
      <c r="D164" s="69" t="str">
        <f t="shared" si="9"/>
        <v/>
      </c>
      <c r="E164" s="84"/>
      <c r="F164" s="126" t="str">
        <f t="shared" si="10"/>
        <v/>
      </c>
      <c r="G164" s="75"/>
      <c r="H164" s="106"/>
      <c r="I164" s="106"/>
      <c r="J164" s="106"/>
      <c r="K164" s="103"/>
      <c r="L164" s="124"/>
      <c r="M164" s="12" t="b">
        <f t="shared" si="11"/>
        <v>0</v>
      </c>
    </row>
    <row r="165" spans="2:13" ht="22.5">
      <c r="B165" s="26">
        <v>153</v>
      </c>
      <c r="C165" s="77"/>
      <c r="D165" s="69" t="str">
        <f t="shared" si="9"/>
        <v/>
      </c>
      <c r="E165" s="84"/>
      <c r="F165" s="126" t="str">
        <f t="shared" si="10"/>
        <v/>
      </c>
      <c r="G165" s="75"/>
      <c r="H165" s="106"/>
      <c r="I165" s="106"/>
      <c r="J165" s="106"/>
      <c r="K165" s="103"/>
      <c r="L165" s="124"/>
      <c r="M165" s="12" t="b">
        <f t="shared" si="11"/>
        <v>0</v>
      </c>
    </row>
    <row r="166" spans="2:13" ht="22.5">
      <c r="B166" s="26">
        <v>154</v>
      </c>
      <c r="C166" s="77"/>
      <c r="D166" s="69" t="str">
        <f t="shared" si="9"/>
        <v/>
      </c>
      <c r="E166" s="84"/>
      <c r="F166" s="126" t="str">
        <f t="shared" si="10"/>
        <v/>
      </c>
      <c r="G166" s="75"/>
      <c r="H166" s="106"/>
      <c r="I166" s="106"/>
      <c r="J166" s="106"/>
      <c r="K166" s="103"/>
      <c r="L166" s="124"/>
      <c r="M166" s="12" t="b">
        <f t="shared" si="11"/>
        <v>0</v>
      </c>
    </row>
    <row r="167" spans="2:13" ht="22.5">
      <c r="B167" s="26">
        <v>155</v>
      </c>
      <c r="C167" s="77"/>
      <c r="D167" s="69" t="str">
        <f t="shared" si="9"/>
        <v/>
      </c>
      <c r="E167" s="84"/>
      <c r="F167" s="126" t="str">
        <f t="shared" si="10"/>
        <v/>
      </c>
      <c r="G167" s="75"/>
      <c r="H167" s="106"/>
      <c r="I167" s="106"/>
      <c r="J167" s="106"/>
      <c r="K167" s="103"/>
      <c r="L167" s="124"/>
      <c r="M167" s="12" t="b">
        <f t="shared" si="11"/>
        <v>0</v>
      </c>
    </row>
    <row r="168" spans="2:13" ht="22.5">
      <c r="B168" s="26">
        <v>156</v>
      </c>
      <c r="C168" s="77"/>
      <c r="D168" s="69" t="str">
        <f t="shared" si="9"/>
        <v/>
      </c>
      <c r="E168" s="84"/>
      <c r="F168" s="126" t="str">
        <f t="shared" si="10"/>
        <v/>
      </c>
      <c r="G168" s="75"/>
      <c r="H168" s="106"/>
      <c r="I168" s="106"/>
      <c r="J168" s="106"/>
      <c r="K168" s="103"/>
      <c r="L168" s="124"/>
      <c r="M168" s="12" t="b">
        <f t="shared" si="11"/>
        <v>0</v>
      </c>
    </row>
    <row r="169" spans="2:13" ht="22.5">
      <c r="B169" s="26">
        <v>157</v>
      </c>
      <c r="C169" s="77"/>
      <c r="D169" s="69" t="str">
        <f t="shared" si="9"/>
        <v/>
      </c>
      <c r="E169" s="84"/>
      <c r="F169" s="126" t="str">
        <f t="shared" si="10"/>
        <v/>
      </c>
      <c r="G169" s="75"/>
      <c r="H169" s="106"/>
      <c r="I169" s="106"/>
      <c r="J169" s="106"/>
      <c r="K169" s="103"/>
      <c r="L169" s="124"/>
      <c r="M169" s="12" t="b">
        <f t="shared" si="11"/>
        <v>0</v>
      </c>
    </row>
    <row r="170" spans="2:13" ht="22.5">
      <c r="B170" s="26">
        <v>158</v>
      </c>
      <c r="C170" s="77"/>
      <c r="D170" s="69" t="str">
        <f t="shared" si="9"/>
        <v/>
      </c>
      <c r="E170" s="84"/>
      <c r="F170" s="126" t="str">
        <f t="shared" si="10"/>
        <v/>
      </c>
      <c r="G170" s="75"/>
      <c r="H170" s="106"/>
      <c r="I170" s="106"/>
      <c r="J170" s="106"/>
      <c r="K170" s="103"/>
      <c r="L170" s="124"/>
      <c r="M170" s="12" t="b">
        <f t="shared" si="11"/>
        <v>0</v>
      </c>
    </row>
    <row r="171" spans="2:13" ht="22.5">
      <c r="B171" s="26">
        <v>159</v>
      </c>
      <c r="C171" s="77"/>
      <c r="D171" s="69" t="str">
        <f t="shared" si="9"/>
        <v/>
      </c>
      <c r="E171" s="84"/>
      <c r="F171" s="126" t="str">
        <f t="shared" si="10"/>
        <v/>
      </c>
      <c r="G171" s="75"/>
      <c r="H171" s="106"/>
      <c r="I171" s="106"/>
      <c r="J171" s="106"/>
      <c r="K171" s="103"/>
      <c r="L171" s="124"/>
      <c r="M171" s="12" t="b">
        <f t="shared" si="11"/>
        <v>0</v>
      </c>
    </row>
    <row r="172" spans="2:13" ht="22.5">
      <c r="B172" s="26">
        <v>160</v>
      </c>
      <c r="C172" s="77"/>
      <c r="D172" s="69" t="str">
        <f t="shared" si="9"/>
        <v/>
      </c>
      <c r="E172" s="84"/>
      <c r="F172" s="126" t="str">
        <f t="shared" si="10"/>
        <v/>
      </c>
      <c r="G172" s="75"/>
      <c r="H172" s="106"/>
      <c r="I172" s="106"/>
      <c r="J172" s="106"/>
      <c r="K172" s="103"/>
      <c r="L172" s="124"/>
      <c r="M172" s="12" t="b">
        <f t="shared" si="11"/>
        <v>0</v>
      </c>
    </row>
    <row r="173" spans="2:13" ht="22.5">
      <c r="B173" s="26">
        <v>161</v>
      </c>
      <c r="C173" s="77"/>
      <c r="D173" s="69" t="str">
        <f t="shared" si="9"/>
        <v/>
      </c>
      <c r="E173" s="84"/>
      <c r="F173" s="126" t="str">
        <f t="shared" si="10"/>
        <v/>
      </c>
      <c r="G173" s="75"/>
      <c r="H173" s="106"/>
      <c r="I173" s="106"/>
      <c r="J173" s="106"/>
      <c r="K173" s="103"/>
      <c r="L173" s="124"/>
      <c r="M173" s="12" t="b">
        <f t="shared" si="11"/>
        <v>0</v>
      </c>
    </row>
    <row r="174" spans="2:13" ht="22.5">
      <c r="B174" s="26">
        <v>162</v>
      </c>
      <c r="C174" s="77"/>
      <c r="D174" s="69" t="str">
        <f t="shared" si="9"/>
        <v/>
      </c>
      <c r="E174" s="84"/>
      <c r="F174" s="126" t="str">
        <f t="shared" si="10"/>
        <v/>
      </c>
      <c r="G174" s="75"/>
      <c r="H174" s="106"/>
      <c r="I174" s="106"/>
      <c r="J174" s="106"/>
      <c r="K174" s="103"/>
      <c r="L174" s="124"/>
      <c r="M174" s="12" t="b">
        <f t="shared" si="11"/>
        <v>0</v>
      </c>
    </row>
    <row r="175" spans="2:13" ht="22.5">
      <c r="B175" s="26">
        <v>163</v>
      </c>
      <c r="C175" s="77"/>
      <c r="D175" s="69" t="str">
        <f t="shared" si="9"/>
        <v/>
      </c>
      <c r="E175" s="84"/>
      <c r="F175" s="126" t="str">
        <f t="shared" si="10"/>
        <v/>
      </c>
      <c r="G175" s="75"/>
      <c r="H175" s="106"/>
      <c r="I175" s="106"/>
      <c r="J175" s="106"/>
      <c r="K175" s="103"/>
      <c r="L175" s="124"/>
      <c r="M175" s="12" t="b">
        <f t="shared" si="11"/>
        <v>0</v>
      </c>
    </row>
    <row r="176" spans="2:13" ht="22.5">
      <c r="B176" s="26">
        <v>164</v>
      </c>
      <c r="C176" s="77"/>
      <c r="D176" s="69" t="str">
        <f t="shared" si="9"/>
        <v/>
      </c>
      <c r="E176" s="84"/>
      <c r="F176" s="126" t="str">
        <f t="shared" si="10"/>
        <v/>
      </c>
      <c r="G176" s="75"/>
      <c r="H176" s="106"/>
      <c r="I176" s="106"/>
      <c r="J176" s="106"/>
      <c r="K176" s="103"/>
      <c r="L176" s="124"/>
      <c r="M176" s="12" t="b">
        <f t="shared" si="11"/>
        <v>0</v>
      </c>
    </row>
    <row r="177" spans="2:13" ht="22.5">
      <c r="B177" s="26">
        <v>165</v>
      </c>
      <c r="C177" s="77"/>
      <c r="D177" s="69" t="str">
        <f t="shared" si="9"/>
        <v/>
      </c>
      <c r="E177" s="84"/>
      <c r="F177" s="126" t="str">
        <f t="shared" si="10"/>
        <v/>
      </c>
      <c r="G177" s="75"/>
      <c r="H177" s="106"/>
      <c r="I177" s="106"/>
      <c r="J177" s="106"/>
      <c r="K177" s="103"/>
      <c r="L177" s="124"/>
      <c r="M177" s="12" t="b">
        <f t="shared" si="11"/>
        <v>0</v>
      </c>
    </row>
    <row r="178" spans="2:13" ht="22.5">
      <c r="B178" s="26">
        <v>166</v>
      </c>
      <c r="C178" s="77"/>
      <c r="D178" s="69" t="str">
        <f t="shared" si="9"/>
        <v/>
      </c>
      <c r="E178" s="84"/>
      <c r="F178" s="126" t="str">
        <f t="shared" si="10"/>
        <v/>
      </c>
      <c r="G178" s="75"/>
      <c r="H178" s="106"/>
      <c r="I178" s="106"/>
      <c r="J178" s="106"/>
      <c r="K178" s="103"/>
      <c r="L178" s="124"/>
      <c r="M178" s="12" t="b">
        <f t="shared" si="11"/>
        <v>0</v>
      </c>
    </row>
    <row r="179" spans="2:13" ht="22.5">
      <c r="B179" s="26">
        <v>167</v>
      </c>
      <c r="C179" s="77"/>
      <c r="D179" s="69" t="str">
        <f t="shared" si="9"/>
        <v/>
      </c>
      <c r="E179" s="84"/>
      <c r="F179" s="126" t="str">
        <f t="shared" si="10"/>
        <v/>
      </c>
      <c r="G179" s="75"/>
      <c r="H179" s="106"/>
      <c r="I179" s="106"/>
      <c r="J179" s="106"/>
      <c r="K179" s="103"/>
      <c r="L179" s="124"/>
      <c r="M179" s="12" t="b">
        <f t="shared" si="11"/>
        <v>0</v>
      </c>
    </row>
    <row r="180" spans="2:13" ht="22.5">
      <c r="B180" s="26">
        <v>168</v>
      </c>
      <c r="C180" s="77"/>
      <c r="D180" s="69" t="str">
        <f t="shared" si="9"/>
        <v/>
      </c>
      <c r="E180" s="84"/>
      <c r="F180" s="126" t="str">
        <f t="shared" si="10"/>
        <v/>
      </c>
      <c r="G180" s="75"/>
      <c r="H180" s="106"/>
      <c r="I180" s="106"/>
      <c r="J180" s="106"/>
      <c r="K180" s="103"/>
      <c r="L180" s="124"/>
      <c r="M180" s="12" t="b">
        <f t="shared" si="11"/>
        <v>0</v>
      </c>
    </row>
    <row r="181" spans="2:13" ht="22.5">
      <c r="B181" s="26">
        <v>169</v>
      </c>
      <c r="C181" s="77"/>
      <c r="D181" s="69" t="str">
        <f t="shared" si="9"/>
        <v/>
      </c>
      <c r="E181" s="84"/>
      <c r="F181" s="126" t="str">
        <f t="shared" si="10"/>
        <v/>
      </c>
      <c r="G181" s="75"/>
      <c r="H181" s="106"/>
      <c r="I181" s="106"/>
      <c r="J181" s="106"/>
      <c r="K181" s="103"/>
      <c r="L181" s="124"/>
      <c r="M181" s="12" t="b">
        <f t="shared" si="11"/>
        <v>0</v>
      </c>
    </row>
    <row r="182" spans="2:13" ht="22.5">
      <c r="B182" s="26">
        <v>170</v>
      </c>
      <c r="C182" s="77"/>
      <c r="D182" s="69" t="str">
        <f t="shared" si="9"/>
        <v/>
      </c>
      <c r="E182" s="84"/>
      <c r="F182" s="126" t="str">
        <f t="shared" si="10"/>
        <v/>
      </c>
      <c r="G182" s="75"/>
      <c r="H182" s="106"/>
      <c r="I182" s="106"/>
      <c r="J182" s="106"/>
      <c r="K182" s="103"/>
      <c r="L182" s="124"/>
      <c r="M182" s="12" t="b">
        <f t="shared" si="11"/>
        <v>0</v>
      </c>
    </row>
    <row r="183" spans="2:13" ht="22.5">
      <c r="B183" s="26">
        <v>171</v>
      </c>
      <c r="C183" s="77"/>
      <c r="D183" s="69" t="str">
        <f t="shared" si="9"/>
        <v/>
      </c>
      <c r="E183" s="84"/>
      <c r="F183" s="126" t="str">
        <f t="shared" si="10"/>
        <v/>
      </c>
      <c r="G183" s="75"/>
      <c r="H183" s="106"/>
      <c r="I183" s="106"/>
      <c r="J183" s="106"/>
      <c r="K183" s="103"/>
      <c r="L183" s="124"/>
      <c r="M183" s="12" t="b">
        <f t="shared" si="11"/>
        <v>0</v>
      </c>
    </row>
    <row r="184" spans="2:13" ht="22.5">
      <c r="B184" s="26">
        <v>172</v>
      </c>
      <c r="C184" s="77"/>
      <c r="D184" s="69" t="str">
        <f t="shared" si="9"/>
        <v/>
      </c>
      <c r="E184" s="84"/>
      <c r="F184" s="126" t="str">
        <f t="shared" si="10"/>
        <v/>
      </c>
      <c r="G184" s="75"/>
      <c r="H184" s="106"/>
      <c r="I184" s="106"/>
      <c r="J184" s="106"/>
      <c r="K184" s="103"/>
      <c r="L184" s="124"/>
      <c r="M184" s="12" t="b">
        <f t="shared" si="11"/>
        <v>0</v>
      </c>
    </row>
    <row r="185" spans="2:13" ht="22.5">
      <c r="B185" s="26">
        <v>173</v>
      </c>
      <c r="C185" s="77"/>
      <c r="D185" s="69" t="str">
        <f t="shared" si="9"/>
        <v/>
      </c>
      <c r="E185" s="84"/>
      <c r="F185" s="126" t="str">
        <f t="shared" si="10"/>
        <v/>
      </c>
      <c r="G185" s="75"/>
      <c r="H185" s="106"/>
      <c r="I185" s="106"/>
      <c r="J185" s="106"/>
      <c r="K185" s="103"/>
      <c r="L185" s="124"/>
      <c r="M185" s="12" t="b">
        <f t="shared" si="11"/>
        <v>0</v>
      </c>
    </row>
    <row r="186" spans="2:13" ht="22.5">
      <c r="B186" s="26">
        <v>174</v>
      </c>
      <c r="C186" s="77"/>
      <c r="D186" s="69" t="str">
        <f t="shared" si="9"/>
        <v/>
      </c>
      <c r="E186" s="84"/>
      <c r="F186" s="126" t="str">
        <f t="shared" si="10"/>
        <v/>
      </c>
      <c r="G186" s="75"/>
      <c r="H186" s="106"/>
      <c r="I186" s="106"/>
      <c r="J186" s="106"/>
      <c r="K186" s="103"/>
      <c r="L186" s="124"/>
      <c r="M186" s="12" t="b">
        <f t="shared" si="11"/>
        <v>0</v>
      </c>
    </row>
    <row r="187" spans="2:13" ht="22.5">
      <c r="B187" s="26">
        <v>175</v>
      </c>
      <c r="C187" s="77"/>
      <c r="D187" s="69" t="str">
        <f t="shared" si="9"/>
        <v/>
      </c>
      <c r="E187" s="84"/>
      <c r="F187" s="126" t="str">
        <f t="shared" si="10"/>
        <v/>
      </c>
      <c r="G187" s="75"/>
      <c r="H187" s="106"/>
      <c r="I187" s="106"/>
      <c r="J187" s="106"/>
      <c r="K187" s="103"/>
      <c r="L187" s="124"/>
      <c r="M187" s="12" t="b">
        <f t="shared" si="11"/>
        <v>0</v>
      </c>
    </row>
    <row r="188" spans="2:13" ht="22.5">
      <c r="B188" s="26">
        <v>176</v>
      </c>
      <c r="C188" s="77"/>
      <c r="D188" s="69" t="str">
        <f t="shared" si="9"/>
        <v/>
      </c>
      <c r="E188" s="84"/>
      <c r="F188" s="126" t="str">
        <f t="shared" si="10"/>
        <v/>
      </c>
      <c r="G188" s="75"/>
      <c r="H188" s="106"/>
      <c r="I188" s="106"/>
      <c r="J188" s="106"/>
      <c r="K188" s="103"/>
      <c r="L188" s="124"/>
      <c r="M188" s="12" t="b">
        <f t="shared" si="11"/>
        <v>0</v>
      </c>
    </row>
    <row r="189" spans="2:13" ht="22.5">
      <c r="B189" s="26">
        <v>177</v>
      </c>
      <c r="C189" s="77"/>
      <c r="D189" s="69" t="str">
        <f t="shared" si="9"/>
        <v/>
      </c>
      <c r="E189" s="84"/>
      <c r="F189" s="126" t="str">
        <f t="shared" si="10"/>
        <v/>
      </c>
      <c r="G189" s="75"/>
      <c r="H189" s="106"/>
      <c r="I189" s="106"/>
      <c r="J189" s="106"/>
      <c r="K189" s="103"/>
      <c r="L189" s="124"/>
      <c r="M189" s="12" t="b">
        <f t="shared" si="11"/>
        <v>0</v>
      </c>
    </row>
    <row r="190" spans="2:13" ht="22.5">
      <c r="B190" s="26">
        <v>178</v>
      </c>
      <c r="C190" s="77"/>
      <c r="D190" s="69" t="str">
        <f t="shared" si="9"/>
        <v/>
      </c>
      <c r="E190" s="84"/>
      <c r="F190" s="126" t="str">
        <f t="shared" si="10"/>
        <v/>
      </c>
      <c r="G190" s="75"/>
      <c r="H190" s="106"/>
      <c r="I190" s="106"/>
      <c r="J190" s="106"/>
      <c r="K190" s="103"/>
      <c r="L190" s="124"/>
      <c r="M190" s="12" t="b">
        <f t="shared" si="11"/>
        <v>0</v>
      </c>
    </row>
    <row r="191" spans="2:13" ht="22.5">
      <c r="B191" s="26">
        <v>179</v>
      </c>
      <c r="C191" s="77"/>
      <c r="D191" s="69" t="str">
        <f t="shared" si="9"/>
        <v/>
      </c>
      <c r="E191" s="84"/>
      <c r="F191" s="126" t="str">
        <f t="shared" si="10"/>
        <v/>
      </c>
      <c r="G191" s="75"/>
      <c r="H191" s="106"/>
      <c r="I191" s="106"/>
      <c r="J191" s="106"/>
      <c r="K191" s="103"/>
      <c r="L191" s="124"/>
      <c r="M191" s="12" t="b">
        <f t="shared" si="11"/>
        <v>0</v>
      </c>
    </row>
    <row r="192" spans="2:13" ht="22.5">
      <c r="B192" s="26">
        <v>180</v>
      </c>
      <c r="C192" s="77"/>
      <c r="D192" s="69" t="str">
        <f t="shared" si="9"/>
        <v/>
      </c>
      <c r="E192" s="84"/>
      <c r="F192" s="126" t="str">
        <f t="shared" si="10"/>
        <v/>
      </c>
      <c r="G192" s="75"/>
      <c r="H192" s="106"/>
      <c r="I192" s="106"/>
      <c r="J192" s="106"/>
      <c r="K192" s="103"/>
      <c r="L192" s="124"/>
      <c r="M192" s="12" t="b">
        <f t="shared" si="11"/>
        <v>0</v>
      </c>
    </row>
    <row r="193" spans="2:13" ht="22.5">
      <c r="B193" s="26">
        <v>181</v>
      </c>
      <c r="C193" s="77"/>
      <c r="D193" s="69" t="str">
        <f t="shared" si="9"/>
        <v/>
      </c>
      <c r="E193" s="84"/>
      <c r="F193" s="126" t="str">
        <f t="shared" si="10"/>
        <v/>
      </c>
      <c r="G193" s="75"/>
      <c r="H193" s="106"/>
      <c r="I193" s="106"/>
      <c r="J193" s="106"/>
      <c r="K193" s="103"/>
      <c r="L193" s="124"/>
      <c r="M193" s="12" t="b">
        <f t="shared" si="11"/>
        <v>0</v>
      </c>
    </row>
    <row r="194" spans="2:13" ht="22.5">
      <c r="B194" s="26">
        <v>182</v>
      </c>
      <c r="C194" s="77"/>
      <c r="D194" s="69" t="str">
        <f t="shared" si="9"/>
        <v/>
      </c>
      <c r="E194" s="84"/>
      <c r="F194" s="126" t="str">
        <f t="shared" si="10"/>
        <v/>
      </c>
      <c r="G194" s="75"/>
      <c r="H194" s="106"/>
      <c r="I194" s="106"/>
      <c r="J194" s="106"/>
      <c r="K194" s="103"/>
      <c r="L194" s="124"/>
      <c r="M194" s="12" t="b">
        <f t="shared" si="11"/>
        <v>0</v>
      </c>
    </row>
    <row r="195" spans="2:13" ht="22.5">
      <c r="B195" s="26">
        <v>183</v>
      </c>
      <c r="C195" s="77"/>
      <c r="D195" s="69" t="str">
        <f t="shared" si="9"/>
        <v/>
      </c>
      <c r="E195" s="84"/>
      <c r="F195" s="126" t="str">
        <f t="shared" si="10"/>
        <v/>
      </c>
      <c r="G195" s="75"/>
      <c r="H195" s="106"/>
      <c r="I195" s="106"/>
      <c r="J195" s="106"/>
      <c r="K195" s="103"/>
      <c r="L195" s="124"/>
      <c r="M195" s="12" t="b">
        <f t="shared" si="11"/>
        <v>0</v>
      </c>
    </row>
    <row r="196" spans="2:13" ht="22.5">
      <c r="B196" s="26">
        <v>184</v>
      </c>
      <c r="C196" s="77"/>
      <c r="D196" s="69" t="str">
        <f t="shared" si="9"/>
        <v/>
      </c>
      <c r="E196" s="84"/>
      <c r="F196" s="126" t="str">
        <f t="shared" si="10"/>
        <v/>
      </c>
      <c r="G196" s="75"/>
      <c r="H196" s="106"/>
      <c r="I196" s="106"/>
      <c r="J196" s="106"/>
      <c r="K196" s="103"/>
      <c r="L196" s="124"/>
      <c r="M196" s="12" t="b">
        <f t="shared" si="11"/>
        <v>0</v>
      </c>
    </row>
    <row r="197" spans="2:13" ht="22.5">
      <c r="B197" s="26">
        <v>185</v>
      </c>
      <c r="C197" s="77"/>
      <c r="D197" s="69" t="str">
        <f t="shared" si="9"/>
        <v/>
      </c>
      <c r="E197" s="84"/>
      <c r="F197" s="126" t="str">
        <f t="shared" si="10"/>
        <v/>
      </c>
      <c r="G197" s="75"/>
      <c r="H197" s="106"/>
      <c r="I197" s="106"/>
      <c r="J197" s="106"/>
      <c r="K197" s="103"/>
      <c r="L197" s="124"/>
      <c r="M197" s="12" t="b">
        <f t="shared" si="11"/>
        <v>0</v>
      </c>
    </row>
    <row r="198" spans="2:13" ht="22.5">
      <c r="B198" s="26">
        <v>186</v>
      </c>
      <c r="C198" s="77"/>
      <c r="D198" s="69" t="str">
        <f t="shared" si="9"/>
        <v/>
      </c>
      <c r="E198" s="84"/>
      <c r="F198" s="126" t="str">
        <f t="shared" si="10"/>
        <v/>
      </c>
      <c r="G198" s="75"/>
      <c r="H198" s="106"/>
      <c r="I198" s="106"/>
      <c r="J198" s="106"/>
      <c r="K198" s="103"/>
      <c r="L198" s="124"/>
      <c r="M198" s="12" t="b">
        <f t="shared" si="11"/>
        <v>0</v>
      </c>
    </row>
    <row r="199" spans="2:13" ht="22.5">
      <c r="B199" s="26">
        <v>187</v>
      </c>
      <c r="C199" s="77"/>
      <c r="D199" s="69" t="str">
        <f t="shared" si="9"/>
        <v/>
      </c>
      <c r="E199" s="84"/>
      <c r="F199" s="126" t="str">
        <f t="shared" si="10"/>
        <v/>
      </c>
      <c r="G199" s="75"/>
      <c r="H199" s="106"/>
      <c r="I199" s="106"/>
      <c r="J199" s="106"/>
      <c r="K199" s="103"/>
      <c r="L199" s="124"/>
      <c r="M199" s="12" t="b">
        <f t="shared" si="11"/>
        <v>0</v>
      </c>
    </row>
    <row r="200" spans="2:13" ht="22.5">
      <c r="B200" s="26">
        <v>188</v>
      </c>
      <c r="C200" s="77"/>
      <c r="D200" s="69" t="str">
        <f t="shared" si="9"/>
        <v/>
      </c>
      <c r="E200" s="84"/>
      <c r="F200" s="126" t="str">
        <f t="shared" si="10"/>
        <v/>
      </c>
      <c r="G200" s="75"/>
      <c r="H200" s="106"/>
      <c r="I200" s="106"/>
      <c r="J200" s="106"/>
      <c r="K200" s="103"/>
      <c r="L200" s="124"/>
      <c r="M200" s="12" t="b">
        <f t="shared" si="11"/>
        <v>0</v>
      </c>
    </row>
    <row r="201" spans="2:13" ht="22.5">
      <c r="B201" s="26">
        <v>189</v>
      </c>
      <c r="C201" s="77"/>
      <c r="D201" s="69" t="str">
        <f t="shared" si="9"/>
        <v/>
      </c>
      <c r="E201" s="84"/>
      <c r="F201" s="126" t="str">
        <f t="shared" si="10"/>
        <v/>
      </c>
      <c r="G201" s="75"/>
      <c r="H201" s="106"/>
      <c r="I201" s="106"/>
      <c r="J201" s="106"/>
      <c r="K201" s="103"/>
      <c r="L201" s="124"/>
      <c r="M201" s="12" t="b">
        <f t="shared" si="11"/>
        <v>0</v>
      </c>
    </row>
    <row r="202" spans="2:13" ht="22.5">
      <c r="B202" s="26">
        <v>190</v>
      </c>
      <c r="C202" s="77"/>
      <c r="D202" s="69" t="str">
        <f t="shared" si="9"/>
        <v/>
      </c>
      <c r="E202" s="84"/>
      <c r="F202" s="126" t="str">
        <f t="shared" si="10"/>
        <v/>
      </c>
      <c r="G202" s="75"/>
      <c r="H202" s="106"/>
      <c r="I202" s="106"/>
      <c r="J202" s="106"/>
      <c r="K202" s="103"/>
      <c r="L202" s="124"/>
      <c r="M202" s="12" t="b">
        <f t="shared" si="11"/>
        <v>0</v>
      </c>
    </row>
    <row r="203" spans="2:13" ht="22.5">
      <c r="B203" s="26">
        <v>191</v>
      </c>
      <c r="C203" s="77"/>
      <c r="D203" s="69" t="str">
        <f t="shared" si="9"/>
        <v/>
      </c>
      <c r="E203" s="84"/>
      <c r="F203" s="126" t="str">
        <f t="shared" si="10"/>
        <v/>
      </c>
      <c r="G203" s="75"/>
      <c r="H203" s="106"/>
      <c r="I203" s="106"/>
      <c r="J203" s="106"/>
      <c r="K203" s="103"/>
      <c r="L203" s="124"/>
      <c r="M203" s="12" t="b">
        <f t="shared" si="11"/>
        <v>0</v>
      </c>
    </row>
    <row r="204" spans="2:13" ht="22.5">
      <c r="B204" s="26">
        <v>192</v>
      </c>
      <c r="C204" s="77"/>
      <c r="D204" s="69" t="str">
        <f t="shared" si="9"/>
        <v/>
      </c>
      <c r="E204" s="84"/>
      <c r="F204" s="126" t="str">
        <f t="shared" si="10"/>
        <v/>
      </c>
      <c r="G204" s="75"/>
      <c r="H204" s="106"/>
      <c r="I204" s="106"/>
      <c r="J204" s="106"/>
      <c r="K204" s="103"/>
      <c r="L204" s="124"/>
      <c r="M204" s="12" t="b">
        <f t="shared" si="11"/>
        <v>0</v>
      </c>
    </row>
    <row r="205" spans="2:13" ht="22.5">
      <c r="B205" s="26">
        <v>193</v>
      </c>
      <c r="C205" s="77"/>
      <c r="D205" s="69" t="str">
        <f t="shared" si="9"/>
        <v/>
      </c>
      <c r="E205" s="84"/>
      <c r="F205" s="126" t="str">
        <f t="shared" si="10"/>
        <v/>
      </c>
      <c r="G205" s="75"/>
      <c r="H205" s="106"/>
      <c r="I205" s="106"/>
      <c r="J205" s="106"/>
      <c r="K205" s="103"/>
      <c r="L205" s="124"/>
      <c r="M205" s="12" t="b">
        <f t="shared" si="11"/>
        <v>0</v>
      </c>
    </row>
    <row r="206" spans="2:13" ht="22.5">
      <c r="B206" s="26">
        <v>194</v>
      </c>
      <c r="C206" s="77"/>
      <c r="D206" s="69" t="str">
        <f t="shared" ref="D206:D269" si="12">IF(LEN(E206)=0,"",IF((AND(ISNUMBER(VALUE(E206)),LEN(E206)=12)),3,IF(AND(ISNUMBER(VALUE(E206)),(LEN(E206)=10)),1,IF(AND(OR((LEFT(E206)="R"),(LEFT(E206)="R")),(ISNUMBER(VALUE(RIGHT(E206,9)))),(LEN(E206)=10)),2,FALSE))))</f>
        <v/>
      </c>
      <c r="E206" s="84"/>
      <c r="F206" s="126" t="str">
        <f t="shared" ref="F206:F269" si="13">IF(D206=FALSE,"←ご確認ください",IF(OR(D206=1,D206=2,D206=3),"形式OK",""))</f>
        <v/>
      </c>
      <c r="G206" s="75"/>
      <c r="H206" s="106"/>
      <c r="I206" s="106"/>
      <c r="J206" s="106"/>
      <c r="K206" s="103"/>
      <c r="L206" s="124"/>
      <c r="M206" s="12" t="b">
        <f t="shared" ref="M206:M269" si="14">IF(COUNTA(E206,G206)=0,FALSE,TRUE)</f>
        <v>0</v>
      </c>
    </row>
    <row r="207" spans="2:13" ht="22.5">
      <c r="B207" s="26">
        <v>195</v>
      </c>
      <c r="C207" s="77"/>
      <c r="D207" s="69" t="str">
        <f t="shared" si="12"/>
        <v/>
      </c>
      <c r="E207" s="84"/>
      <c r="F207" s="126" t="str">
        <f t="shared" si="13"/>
        <v/>
      </c>
      <c r="G207" s="75"/>
      <c r="H207" s="106"/>
      <c r="I207" s="106"/>
      <c r="J207" s="106"/>
      <c r="K207" s="103"/>
      <c r="L207" s="124"/>
      <c r="M207" s="12" t="b">
        <f t="shared" si="14"/>
        <v>0</v>
      </c>
    </row>
    <row r="208" spans="2:13" ht="22.5">
      <c r="B208" s="26">
        <v>196</v>
      </c>
      <c r="C208" s="77"/>
      <c r="D208" s="69" t="str">
        <f t="shared" si="12"/>
        <v/>
      </c>
      <c r="E208" s="84"/>
      <c r="F208" s="126" t="str">
        <f t="shared" si="13"/>
        <v/>
      </c>
      <c r="G208" s="75"/>
      <c r="H208" s="106"/>
      <c r="I208" s="106"/>
      <c r="J208" s="106"/>
      <c r="K208" s="103"/>
      <c r="L208" s="124"/>
      <c r="M208" s="12" t="b">
        <f t="shared" si="14"/>
        <v>0</v>
      </c>
    </row>
    <row r="209" spans="2:13" ht="22.5">
      <c r="B209" s="26">
        <v>197</v>
      </c>
      <c r="C209" s="77"/>
      <c r="D209" s="69" t="str">
        <f t="shared" si="12"/>
        <v/>
      </c>
      <c r="E209" s="84"/>
      <c r="F209" s="126" t="str">
        <f t="shared" si="13"/>
        <v/>
      </c>
      <c r="G209" s="75"/>
      <c r="H209" s="106"/>
      <c r="I209" s="106"/>
      <c r="J209" s="106"/>
      <c r="K209" s="103"/>
      <c r="L209" s="124"/>
      <c r="M209" s="12" t="b">
        <f t="shared" si="14"/>
        <v>0</v>
      </c>
    </row>
    <row r="210" spans="2:13" ht="22.5">
      <c r="B210" s="26">
        <v>198</v>
      </c>
      <c r="C210" s="77"/>
      <c r="D210" s="69" t="str">
        <f t="shared" si="12"/>
        <v/>
      </c>
      <c r="E210" s="84"/>
      <c r="F210" s="126" t="str">
        <f t="shared" si="13"/>
        <v/>
      </c>
      <c r="G210" s="75"/>
      <c r="H210" s="106"/>
      <c r="I210" s="106"/>
      <c r="J210" s="106"/>
      <c r="K210" s="103"/>
      <c r="L210" s="124"/>
      <c r="M210" s="12" t="b">
        <f t="shared" si="14"/>
        <v>0</v>
      </c>
    </row>
    <row r="211" spans="2:13" ht="22.5">
      <c r="B211" s="26">
        <v>199</v>
      </c>
      <c r="C211" s="77"/>
      <c r="D211" s="69" t="str">
        <f t="shared" si="12"/>
        <v/>
      </c>
      <c r="E211" s="84"/>
      <c r="F211" s="126" t="str">
        <f t="shared" si="13"/>
        <v/>
      </c>
      <c r="G211" s="75"/>
      <c r="H211" s="106"/>
      <c r="I211" s="106"/>
      <c r="J211" s="106"/>
      <c r="K211" s="103"/>
      <c r="L211" s="124"/>
      <c r="M211" s="12" t="b">
        <f t="shared" si="14"/>
        <v>0</v>
      </c>
    </row>
    <row r="212" spans="2:13" ht="22.5">
      <c r="B212" s="26">
        <v>200</v>
      </c>
      <c r="C212" s="77"/>
      <c r="D212" s="69" t="str">
        <f t="shared" si="12"/>
        <v/>
      </c>
      <c r="E212" s="84"/>
      <c r="F212" s="126" t="str">
        <f t="shared" si="13"/>
        <v/>
      </c>
      <c r="G212" s="75"/>
      <c r="H212" s="106"/>
      <c r="I212" s="106"/>
      <c r="J212" s="106"/>
      <c r="K212" s="103"/>
      <c r="L212" s="124"/>
      <c r="M212" s="12" t="b">
        <f t="shared" si="14"/>
        <v>0</v>
      </c>
    </row>
    <row r="213" spans="2:13" ht="22.5">
      <c r="B213" s="26">
        <v>201</v>
      </c>
      <c r="C213" s="77"/>
      <c r="D213" s="69" t="str">
        <f t="shared" si="12"/>
        <v/>
      </c>
      <c r="E213" s="84"/>
      <c r="F213" s="126" t="str">
        <f t="shared" si="13"/>
        <v/>
      </c>
      <c r="G213" s="75"/>
      <c r="H213" s="106"/>
      <c r="I213" s="106"/>
      <c r="J213" s="106"/>
      <c r="K213" s="103"/>
      <c r="L213" s="124"/>
      <c r="M213" s="12" t="b">
        <f t="shared" si="14"/>
        <v>0</v>
      </c>
    </row>
    <row r="214" spans="2:13" ht="22.5">
      <c r="B214" s="26">
        <v>202</v>
      </c>
      <c r="C214" s="77"/>
      <c r="D214" s="69" t="str">
        <f t="shared" si="12"/>
        <v/>
      </c>
      <c r="E214" s="84"/>
      <c r="F214" s="126" t="str">
        <f t="shared" si="13"/>
        <v/>
      </c>
      <c r="G214" s="75"/>
      <c r="H214" s="106"/>
      <c r="I214" s="106"/>
      <c r="J214" s="106"/>
      <c r="K214" s="103"/>
      <c r="L214" s="124"/>
      <c r="M214" s="12" t="b">
        <f t="shared" si="14"/>
        <v>0</v>
      </c>
    </row>
    <row r="215" spans="2:13" ht="22.5">
      <c r="B215" s="26">
        <v>203</v>
      </c>
      <c r="C215" s="77"/>
      <c r="D215" s="69" t="str">
        <f t="shared" si="12"/>
        <v/>
      </c>
      <c r="E215" s="84"/>
      <c r="F215" s="126" t="str">
        <f t="shared" si="13"/>
        <v/>
      </c>
      <c r="G215" s="75"/>
      <c r="H215" s="106"/>
      <c r="I215" s="106"/>
      <c r="J215" s="106"/>
      <c r="K215" s="103"/>
      <c r="L215" s="124"/>
      <c r="M215" s="12" t="b">
        <f t="shared" si="14"/>
        <v>0</v>
      </c>
    </row>
    <row r="216" spans="2:13" ht="22.5">
      <c r="B216" s="26">
        <v>204</v>
      </c>
      <c r="C216" s="77"/>
      <c r="D216" s="69" t="str">
        <f t="shared" si="12"/>
        <v/>
      </c>
      <c r="E216" s="84"/>
      <c r="F216" s="126" t="str">
        <f t="shared" si="13"/>
        <v/>
      </c>
      <c r="G216" s="75"/>
      <c r="H216" s="106"/>
      <c r="I216" s="106"/>
      <c r="J216" s="106"/>
      <c r="K216" s="103"/>
      <c r="L216" s="124"/>
      <c r="M216" s="12" t="b">
        <f t="shared" si="14"/>
        <v>0</v>
      </c>
    </row>
    <row r="217" spans="2:13" ht="22.5">
      <c r="B217" s="26">
        <v>205</v>
      </c>
      <c r="C217" s="77"/>
      <c r="D217" s="69" t="str">
        <f t="shared" si="12"/>
        <v/>
      </c>
      <c r="E217" s="84"/>
      <c r="F217" s="126" t="str">
        <f t="shared" si="13"/>
        <v/>
      </c>
      <c r="G217" s="75"/>
      <c r="H217" s="106"/>
      <c r="I217" s="106"/>
      <c r="J217" s="106"/>
      <c r="K217" s="103"/>
      <c r="L217" s="124"/>
      <c r="M217" s="12" t="b">
        <f t="shared" si="14"/>
        <v>0</v>
      </c>
    </row>
    <row r="218" spans="2:13" ht="22.5">
      <c r="B218" s="26">
        <v>206</v>
      </c>
      <c r="C218" s="77"/>
      <c r="D218" s="69" t="str">
        <f t="shared" si="12"/>
        <v/>
      </c>
      <c r="E218" s="84"/>
      <c r="F218" s="126" t="str">
        <f t="shared" si="13"/>
        <v/>
      </c>
      <c r="G218" s="75"/>
      <c r="H218" s="106"/>
      <c r="I218" s="106"/>
      <c r="J218" s="106"/>
      <c r="K218" s="103"/>
      <c r="L218" s="124"/>
      <c r="M218" s="12" t="b">
        <f t="shared" si="14"/>
        <v>0</v>
      </c>
    </row>
    <row r="219" spans="2:13" ht="22.5">
      <c r="B219" s="26">
        <v>207</v>
      </c>
      <c r="C219" s="77"/>
      <c r="D219" s="69" t="str">
        <f t="shared" si="12"/>
        <v/>
      </c>
      <c r="E219" s="84"/>
      <c r="F219" s="126" t="str">
        <f t="shared" si="13"/>
        <v/>
      </c>
      <c r="G219" s="75"/>
      <c r="H219" s="106"/>
      <c r="I219" s="106"/>
      <c r="J219" s="106"/>
      <c r="K219" s="103"/>
      <c r="L219" s="124"/>
      <c r="M219" s="12" t="b">
        <f t="shared" si="14"/>
        <v>0</v>
      </c>
    </row>
    <row r="220" spans="2:13" ht="22.5">
      <c r="B220" s="26">
        <v>208</v>
      </c>
      <c r="C220" s="77"/>
      <c r="D220" s="69" t="str">
        <f t="shared" si="12"/>
        <v/>
      </c>
      <c r="E220" s="84"/>
      <c r="F220" s="126" t="str">
        <f t="shared" si="13"/>
        <v/>
      </c>
      <c r="G220" s="75"/>
      <c r="H220" s="106"/>
      <c r="I220" s="106"/>
      <c r="J220" s="106"/>
      <c r="K220" s="103"/>
      <c r="L220" s="124"/>
      <c r="M220" s="12" t="b">
        <f t="shared" si="14"/>
        <v>0</v>
      </c>
    </row>
    <row r="221" spans="2:13" ht="22.5">
      <c r="B221" s="26">
        <v>209</v>
      </c>
      <c r="C221" s="77"/>
      <c r="D221" s="69" t="str">
        <f t="shared" si="12"/>
        <v/>
      </c>
      <c r="E221" s="84"/>
      <c r="F221" s="126" t="str">
        <f t="shared" si="13"/>
        <v/>
      </c>
      <c r="G221" s="75"/>
      <c r="H221" s="106"/>
      <c r="I221" s="106"/>
      <c r="J221" s="106"/>
      <c r="K221" s="103"/>
      <c r="L221" s="124"/>
      <c r="M221" s="12" t="b">
        <f t="shared" si="14"/>
        <v>0</v>
      </c>
    </row>
    <row r="222" spans="2:13" ht="22.5">
      <c r="B222" s="26">
        <v>210</v>
      </c>
      <c r="C222" s="77"/>
      <c r="D222" s="69" t="str">
        <f t="shared" si="12"/>
        <v/>
      </c>
      <c r="E222" s="84"/>
      <c r="F222" s="126" t="str">
        <f t="shared" si="13"/>
        <v/>
      </c>
      <c r="G222" s="75"/>
      <c r="H222" s="106"/>
      <c r="I222" s="106"/>
      <c r="J222" s="106"/>
      <c r="K222" s="103"/>
      <c r="L222" s="124"/>
      <c r="M222" s="12" t="b">
        <f t="shared" si="14"/>
        <v>0</v>
      </c>
    </row>
    <row r="223" spans="2:13" ht="22.5">
      <c r="B223" s="26">
        <v>211</v>
      </c>
      <c r="C223" s="77"/>
      <c r="D223" s="69" t="str">
        <f t="shared" si="12"/>
        <v/>
      </c>
      <c r="E223" s="84"/>
      <c r="F223" s="126" t="str">
        <f t="shared" si="13"/>
        <v/>
      </c>
      <c r="G223" s="75"/>
      <c r="H223" s="106"/>
      <c r="I223" s="106"/>
      <c r="J223" s="106"/>
      <c r="K223" s="103"/>
      <c r="L223" s="124"/>
      <c r="M223" s="12" t="b">
        <f t="shared" si="14"/>
        <v>0</v>
      </c>
    </row>
    <row r="224" spans="2:13" ht="22.5">
      <c r="B224" s="26">
        <v>212</v>
      </c>
      <c r="C224" s="77"/>
      <c r="D224" s="69" t="str">
        <f t="shared" si="12"/>
        <v/>
      </c>
      <c r="E224" s="84"/>
      <c r="F224" s="126" t="str">
        <f t="shared" si="13"/>
        <v/>
      </c>
      <c r="G224" s="75"/>
      <c r="H224" s="106"/>
      <c r="I224" s="106"/>
      <c r="J224" s="106"/>
      <c r="K224" s="103"/>
      <c r="L224" s="124"/>
      <c r="M224" s="12" t="b">
        <f t="shared" si="14"/>
        <v>0</v>
      </c>
    </row>
    <row r="225" spans="2:13" ht="22.5">
      <c r="B225" s="26">
        <v>213</v>
      </c>
      <c r="C225" s="77"/>
      <c r="D225" s="69" t="str">
        <f t="shared" si="12"/>
        <v/>
      </c>
      <c r="E225" s="84"/>
      <c r="F225" s="126" t="str">
        <f t="shared" si="13"/>
        <v/>
      </c>
      <c r="G225" s="75"/>
      <c r="H225" s="106"/>
      <c r="I225" s="106"/>
      <c r="J225" s="106"/>
      <c r="K225" s="103"/>
      <c r="L225" s="124"/>
      <c r="M225" s="12" t="b">
        <f t="shared" si="14"/>
        <v>0</v>
      </c>
    </row>
    <row r="226" spans="2:13" ht="22.5">
      <c r="B226" s="26">
        <v>214</v>
      </c>
      <c r="C226" s="77"/>
      <c r="D226" s="69" t="str">
        <f t="shared" si="12"/>
        <v/>
      </c>
      <c r="E226" s="84"/>
      <c r="F226" s="126" t="str">
        <f t="shared" si="13"/>
        <v/>
      </c>
      <c r="G226" s="75"/>
      <c r="H226" s="106"/>
      <c r="I226" s="106"/>
      <c r="J226" s="106"/>
      <c r="K226" s="103"/>
      <c r="L226" s="124"/>
      <c r="M226" s="12" t="b">
        <f t="shared" si="14"/>
        <v>0</v>
      </c>
    </row>
    <row r="227" spans="2:13" ht="22.5">
      <c r="B227" s="26">
        <v>215</v>
      </c>
      <c r="C227" s="77"/>
      <c r="D227" s="69" t="str">
        <f t="shared" si="12"/>
        <v/>
      </c>
      <c r="E227" s="84"/>
      <c r="F227" s="126" t="str">
        <f t="shared" si="13"/>
        <v/>
      </c>
      <c r="G227" s="75"/>
      <c r="H227" s="106"/>
      <c r="I227" s="106"/>
      <c r="J227" s="106"/>
      <c r="K227" s="103"/>
      <c r="L227" s="124"/>
      <c r="M227" s="12" t="b">
        <f t="shared" si="14"/>
        <v>0</v>
      </c>
    </row>
    <row r="228" spans="2:13" ht="22.5">
      <c r="B228" s="26">
        <v>216</v>
      </c>
      <c r="C228" s="77"/>
      <c r="D228" s="69" t="str">
        <f t="shared" si="12"/>
        <v/>
      </c>
      <c r="E228" s="84"/>
      <c r="F228" s="126" t="str">
        <f t="shared" si="13"/>
        <v/>
      </c>
      <c r="G228" s="75"/>
      <c r="H228" s="106"/>
      <c r="I228" s="106"/>
      <c r="J228" s="106"/>
      <c r="K228" s="103"/>
      <c r="L228" s="124"/>
      <c r="M228" s="12" t="b">
        <f t="shared" si="14"/>
        <v>0</v>
      </c>
    </row>
    <row r="229" spans="2:13" ht="22.5">
      <c r="B229" s="26">
        <v>217</v>
      </c>
      <c r="C229" s="77"/>
      <c r="D229" s="69" t="str">
        <f t="shared" si="12"/>
        <v/>
      </c>
      <c r="E229" s="84"/>
      <c r="F229" s="126" t="str">
        <f t="shared" si="13"/>
        <v/>
      </c>
      <c r="G229" s="75"/>
      <c r="H229" s="106"/>
      <c r="I229" s="106"/>
      <c r="J229" s="106"/>
      <c r="K229" s="103"/>
      <c r="L229" s="124"/>
      <c r="M229" s="12" t="b">
        <f t="shared" si="14"/>
        <v>0</v>
      </c>
    </row>
    <row r="230" spans="2:13" ht="22.5">
      <c r="B230" s="26">
        <v>218</v>
      </c>
      <c r="C230" s="77"/>
      <c r="D230" s="69" t="str">
        <f t="shared" si="12"/>
        <v/>
      </c>
      <c r="E230" s="84"/>
      <c r="F230" s="126" t="str">
        <f t="shared" si="13"/>
        <v/>
      </c>
      <c r="G230" s="75"/>
      <c r="H230" s="106"/>
      <c r="I230" s="106"/>
      <c r="J230" s="106"/>
      <c r="K230" s="103"/>
      <c r="L230" s="124"/>
      <c r="M230" s="12" t="b">
        <f t="shared" si="14"/>
        <v>0</v>
      </c>
    </row>
    <row r="231" spans="2:13" ht="22.5">
      <c r="B231" s="26">
        <v>219</v>
      </c>
      <c r="C231" s="77"/>
      <c r="D231" s="69" t="str">
        <f t="shared" si="12"/>
        <v/>
      </c>
      <c r="E231" s="84"/>
      <c r="F231" s="126" t="str">
        <f t="shared" si="13"/>
        <v/>
      </c>
      <c r="G231" s="75"/>
      <c r="H231" s="106"/>
      <c r="I231" s="106"/>
      <c r="J231" s="106"/>
      <c r="K231" s="103"/>
      <c r="L231" s="124"/>
      <c r="M231" s="12" t="b">
        <f t="shared" si="14"/>
        <v>0</v>
      </c>
    </row>
    <row r="232" spans="2:13" ht="22.5">
      <c r="B232" s="26">
        <v>220</v>
      </c>
      <c r="C232" s="77"/>
      <c r="D232" s="69" t="str">
        <f t="shared" si="12"/>
        <v/>
      </c>
      <c r="E232" s="84"/>
      <c r="F232" s="126" t="str">
        <f t="shared" si="13"/>
        <v/>
      </c>
      <c r="G232" s="75"/>
      <c r="H232" s="106"/>
      <c r="I232" s="106"/>
      <c r="J232" s="106"/>
      <c r="K232" s="103"/>
      <c r="L232" s="124"/>
      <c r="M232" s="12" t="b">
        <f t="shared" si="14"/>
        <v>0</v>
      </c>
    </row>
    <row r="233" spans="2:13" ht="22.5">
      <c r="B233" s="26">
        <v>221</v>
      </c>
      <c r="C233" s="77"/>
      <c r="D233" s="69" t="str">
        <f t="shared" si="12"/>
        <v/>
      </c>
      <c r="E233" s="84"/>
      <c r="F233" s="126" t="str">
        <f t="shared" si="13"/>
        <v/>
      </c>
      <c r="G233" s="75"/>
      <c r="H233" s="106"/>
      <c r="I233" s="106"/>
      <c r="J233" s="106"/>
      <c r="K233" s="103"/>
      <c r="L233" s="124"/>
      <c r="M233" s="12" t="b">
        <f t="shared" si="14"/>
        <v>0</v>
      </c>
    </row>
    <row r="234" spans="2:13" ht="22.5">
      <c r="B234" s="26">
        <v>222</v>
      </c>
      <c r="C234" s="77"/>
      <c r="D234" s="69" t="str">
        <f t="shared" si="12"/>
        <v/>
      </c>
      <c r="E234" s="84"/>
      <c r="F234" s="126" t="str">
        <f t="shared" si="13"/>
        <v/>
      </c>
      <c r="G234" s="75"/>
      <c r="H234" s="106"/>
      <c r="I234" s="106"/>
      <c r="J234" s="106"/>
      <c r="K234" s="103"/>
      <c r="L234" s="124"/>
      <c r="M234" s="12" t="b">
        <f t="shared" si="14"/>
        <v>0</v>
      </c>
    </row>
    <row r="235" spans="2:13" ht="22.5">
      <c r="B235" s="26">
        <v>223</v>
      </c>
      <c r="C235" s="77"/>
      <c r="D235" s="69" t="str">
        <f t="shared" si="12"/>
        <v/>
      </c>
      <c r="E235" s="84"/>
      <c r="F235" s="126" t="str">
        <f t="shared" si="13"/>
        <v/>
      </c>
      <c r="G235" s="75"/>
      <c r="H235" s="106"/>
      <c r="I235" s="106"/>
      <c r="J235" s="106"/>
      <c r="K235" s="103"/>
      <c r="L235" s="124"/>
      <c r="M235" s="12" t="b">
        <f t="shared" si="14"/>
        <v>0</v>
      </c>
    </row>
    <row r="236" spans="2:13" ht="22.5">
      <c r="B236" s="26">
        <v>224</v>
      </c>
      <c r="C236" s="77"/>
      <c r="D236" s="69" t="str">
        <f t="shared" si="12"/>
        <v/>
      </c>
      <c r="E236" s="84"/>
      <c r="F236" s="126" t="str">
        <f t="shared" si="13"/>
        <v/>
      </c>
      <c r="G236" s="75"/>
      <c r="H236" s="106"/>
      <c r="I236" s="106"/>
      <c r="J236" s="106"/>
      <c r="K236" s="103"/>
      <c r="L236" s="124"/>
      <c r="M236" s="12" t="b">
        <f t="shared" si="14"/>
        <v>0</v>
      </c>
    </row>
    <row r="237" spans="2:13" ht="22.5">
      <c r="B237" s="26">
        <v>225</v>
      </c>
      <c r="C237" s="77"/>
      <c r="D237" s="69" t="str">
        <f t="shared" si="12"/>
        <v/>
      </c>
      <c r="E237" s="84"/>
      <c r="F237" s="126" t="str">
        <f t="shared" si="13"/>
        <v/>
      </c>
      <c r="G237" s="75"/>
      <c r="H237" s="106"/>
      <c r="I237" s="106"/>
      <c r="J237" s="106"/>
      <c r="K237" s="103"/>
      <c r="L237" s="124"/>
      <c r="M237" s="12" t="b">
        <f t="shared" si="14"/>
        <v>0</v>
      </c>
    </row>
    <row r="238" spans="2:13" ht="22.5">
      <c r="B238" s="26">
        <v>226</v>
      </c>
      <c r="C238" s="77"/>
      <c r="D238" s="69" t="str">
        <f t="shared" si="12"/>
        <v/>
      </c>
      <c r="E238" s="84"/>
      <c r="F238" s="126" t="str">
        <f t="shared" si="13"/>
        <v/>
      </c>
      <c r="G238" s="75"/>
      <c r="H238" s="106"/>
      <c r="I238" s="106"/>
      <c r="J238" s="106"/>
      <c r="K238" s="103"/>
      <c r="L238" s="124"/>
      <c r="M238" s="12" t="b">
        <f t="shared" si="14"/>
        <v>0</v>
      </c>
    </row>
    <row r="239" spans="2:13" ht="22.5">
      <c r="B239" s="26">
        <v>227</v>
      </c>
      <c r="C239" s="77"/>
      <c r="D239" s="69" t="str">
        <f t="shared" si="12"/>
        <v/>
      </c>
      <c r="E239" s="84"/>
      <c r="F239" s="126" t="str">
        <f t="shared" si="13"/>
        <v/>
      </c>
      <c r="G239" s="75"/>
      <c r="H239" s="106"/>
      <c r="I239" s="106"/>
      <c r="J239" s="106"/>
      <c r="K239" s="103"/>
      <c r="L239" s="124"/>
      <c r="M239" s="12" t="b">
        <f t="shared" si="14"/>
        <v>0</v>
      </c>
    </row>
    <row r="240" spans="2:13" ht="22.5">
      <c r="B240" s="26">
        <v>228</v>
      </c>
      <c r="C240" s="77"/>
      <c r="D240" s="69" t="str">
        <f t="shared" si="12"/>
        <v/>
      </c>
      <c r="E240" s="84"/>
      <c r="F240" s="126" t="str">
        <f t="shared" si="13"/>
        <v/>
      </c>
      <c r="G240" s="75"/>
      <c r="H240" s="106"/>
      <c r="I240" s="106"/>
      <c r="J240" s="106"/>
      <c r="K240" s="103"/>
      <c r="L240" s="124"/>
      <c r="M240" s="12" t="b">
        <f t="shared" si="14"/>
        <v>0</v>
      </c>
    </row>
    <row r="241" spans="2:13" ht="22.5">
      <c r="B241" s="26">
        <v>229</v>
      </c>
      <c r="C241" s="77"/>
      <c r="D241" s="69" t="str">
        <f t="shared" si="12"/>
        <v/>
      </c>
      <c r="E241" s="84"/>
      <c r="F241" s="126" t="str">
        <f t="shared" si="13"/>
        <v/>
      </c>
      <c r="G241" s="75"/>
      <c r="H241" s="106"/>
      <c r="I241" s="106"/>
      <c r="J241" s="106"/>
      <c r="K241" s="103"/>
      <c r="L241" s="124"/>
      <c r="M241" s="12" t="b">
        <f t="shared" si="14"/>
        <v>0</v>
      </c>
    </row>
    <row r="242" spans="2:13" ht="22.5">
      <c r="B242" s="26">
        <v>230</v>
      </c>
      <c r="C242" s="77"/>
      <c r="D242" s="69" t="str">
        <f t="shared" si="12"/>
        <v/>
      </c>
      <c r="E242" s="84"/>
      <c r="F242" s="126" t="str">
        <f t="shared" si="13"/>
        <v/>
      </c>
      <c r="G242" s="75"/>
      <c r="H242" s="106"/>
      <c r="I242" s="106"/>
      <c r="J242" s="106"/>
      <c r="K242" s="103"/>
      <c r="L242" s="124"/>
      <c r="M242" s="12" t="b">
        <f t="shared" si="14"/>
        <v>0</v>
      </c>
    </row>
    <row r="243" spans="2:13" ht="22.5">
      <c r="B243" s="26">
        <v>231</v>
      </c>
      <c r="C243" s="77"/>
      <c r="D243" s="69" t="str">
        <f t="shared" si="12"/>
        <v/>
      </c>
      <c r="E243" s="84"/>
      <c r="F243" s="126" t="str">
        <f t="shared" si="13"/>
        <v/>
      </c>
      <c r="G243" s="75"/>
      <c r="H243" s="106"/>
      <c r="I243" s="106"/>
      <c r="J243" s="106"/>
      <c r="K243" s="103"/>
      <c r="L243" s="124"/>
      <c r="M243" s="12" t="b">
        <f t="shared" si="14"/>
        <v>0</v>
      </c>
    </row>
    <row r="244" spans="2:13" ht="22.5">
      <c r="B244" s="26">
        <v>232</v>
      </c>
      <c r="C244" s="77"/>
      <c r="D244" s="69" t="str">
        <f t="shared" si="12"/>
        <v/>
      </c>
      <c r="E244" s="84"/>
      <c r="F244" s="126" t="str">
        <f t="shared" si="13"/>
        <v/>
      </c>
      <c r="G244" s="75"/>
      <c r="H244" s="106"/>
      <c r="I244" s="106"/>
      <c r="J244" s="106"/>
      <c r="K244" s="103"/>
      <c r="L244" s="124"/>
      <c r="M244" s="12" t="b">
        <f t="shared" si="14"/>
        <v>0</v>
      </c>
    </row>
    <row r="245" spans="2:13" ht="22.5">
      <c r="B245" s="26">
        <v>233</v>
      </c>
      <c r="C245" s="77"/>
      <c r="D245" s="69" t="str">
        <f t="shared" si="12"/>
        <v/>
      </c>
      <c r="E245" s="84"/>
      <c r="F245" s="126" t="str">
        <f t="shared" si="13"/>
        <v/>
      </c>
      <c r="G245" s="75"/>
      <c r="H245" s="106"/>
      <c r="I245" s="106"/>
      <c r="J245" s="106"/>
      <c r="K245" s="103"/>
      <c r="L245" s="124"/>
      <c r="M245" s="12" t="b">
        <f t="shared" si="14"/>
        <v>0</v>
      </c>
    </row>
    <row r="246" spans="2:13" ht="22.5">
      <c r="B246" s="26">
        <v>234</v>
      </c>
      <c r="C246" s="77"/>
      <c r="D246" s="69" t="str">
        <f t="shared" si="12"/>
        <v/>
      </c>
      <c r="E246" s="84"/>
      <c r="F246" s="126" t="str">
        <f t="shared" si="13"/>
        <v/>
      </c>
      <c r="G246" s="75"/>
      <c r="H246" s="106"/>
      <c r="I246" s="106"/>
      <c r="J246" s="106"/>
      <c r="K246" s="103"/>
      <c r="L246" s="124"/>
      <c r="M246" s="12" t="b">
        <f t="shared" si="14"/>
        <v>0</v>
      </c>
    </row>
    <row r="247" spans="2:13" ht="22.5">
      <c r="B247" s="26">
        <v>235</v>
      </c>
      <c r="C247" s="77"/>
      <c r="D247" s="69" t="str">
        <f t="shared" si="12"/>
        <v/>
      </c>
      <c r="E247" s="84"/>
      <c r="F247" s="126" t="str">
        <f t="shared" si="13"/>
        <v/>
      </c>
      <c r="G247" s="75"/>
      <c r="H247" s="106"/>
      <c r="I247" s="106"/>
      <c r="J247" s="106"/>
      <c r="K247" s="103"/>
      <c r="L247" s="124"/>
      <c r="M247" s="12" t="b">
        <f t="shared" si="14"/>
        <v>0</v>
      </c>
    </row>
    <row r="248" spans="2:13" ht="22.5">
      <c r="B248" s="26">
        <v>236</v>
      </c>
      <c r="C248" s="77"/>
      <c r="D248" s="69" t="str">
        <f t="shared" si="12"/>
        <v/>
      </c>
      <c r="E248" s="84"/>
      <c r="F248" s="126" t="str">
        <f t="shared" si="13"/>
        <v/>
      </c>
      <c r="G248" s="75"/>
      <c r="H248" s="106"/>
      <c r="I248" s="106"/>
      <c r="J248" s="106"/>
      <c r="K248" s="103"/>
      <c r="L248" s="124"/>
      <c r="M248" s="12" t="b">
        <f t="shared" si="14"/>
        <v>0</v>
      </c>
    </row>
    <row r="249" spans="2:13" ht="22.5">
      <c r="B249" s="26">
        <v>237</v>
      </c>
      <c r="C249" s="77"/>
      <c r="D249" s="69" t="str">
        <f t="shared" si="12"/>
        <v/>
      </c>
      <c r="E249" s="84"/>
      <c r="F249" s="126" t="str">
        <f t="shared" si="13"/>
        <v/>
      </c>
      <c r="G249" s="75"/>
      <c r="H249" s="106"/>
      <c r="I249" s="106"/>
      <c r="J249" s="106"/>
      <c r="K249" s="103"/>
      <c r="L249" s="124"/>
      <c r="M249" s="12" t="b">
        <f t="shared" si="14"/>
        <v>0</v>
      </c>
    </row>
    <row r="250" spans="2:13" ht="22.5">
      <c r="B250" s="26">
        <v>238</v>
      </c>
      <c r="C250" s="77"/>
      <c r="D250" s="69" t="str">
        <f t="shared" si="12"/>
        <v/>
      </c>
      <c r="E250" s="84"/>
      <c r="F250" s="126" t="str">
        <f t="shared" si="13"/>
        <v/>
      </c>
      <c r="G250" s="75"/>
      <c r="H250" s="106"/>
      <c r="I250" s="106"/>
      <c r="J250" s="106"/>
      <c r="K250" s="103"/>
      <c r="L250" s="124"/>
      <c r="M250" s="12" t="b">
        <f t="shared" si="14"/>
        <v>0</v>
      </c>
    </row>
    <row r="251" spans="2:13" ht="22.5">
      <c r="B251" s="26">
        <v>239</v>
      </c>
      <c r="C251" s="77"/>
      <c r="D251" s="69" t="str">
        <f t="shared" si="12"/>
        <v/>
      </c>
      <c r="E251" s="84"/>
      <c r="F251" s="126" t="str">
        <f t="shared" si="13"/>
        <v/>
      </c>
      <c r="G251" s="75"/>
      <c r="H251" s="106"/>
      <c r="I251" s="106"/>
      <c r="J251" s="106"/>
      <c r="K251" s="103"/>
      <c r="L251" s="124"/>
      <c r="M251" s="12" t="b">
        <f t="shared" si="14"/>
        <v>0</v>
      </c>
    </row>
    <row r="252" spans="2:13" ht="22.5">
      <c r="B252" s="26">
        <v>240</v>
      </c>
      <c r="C252" s="77"/>
      <c r="D252" s="69" t="str">
        <f t="shared" si="12"/>
        <v/>
      </c>
      <c r="E252" s="84"/>
      <c r="F252" s="126" t="str">
        <f t="shared" si="13"/>
        <v/>
      </c>
      <c r="G252" s="75"/>
      <c r="H252" s="106"/>
      <c r="I252" s="106"/>
      <c r="J252" s="106"/>
      <c r="K252" s="103"/>
      <c r="L252" s="124"/>
      <c r="M252" s="12" t="b">
        <f t="shared" si="14"/>
        <v>0</v>
      </c>
    </row>
    <row r="253" spans="2:13" ht="22.5">
      <c r="B253" s="26">
        <v>241</v>
      </c>
      <c r="C253" s="77"/>
      <c r="D253" s="69" t="str">
        <f t="shared" si="12"/>
        <v/>
      </c>
      <c r="E253" s="84"/>
      <c r="F253" s="126" t="str">
        <f t="shared" si="13"/>
        <v/>
      </c>
      <c r="G253" s="75"/>
      <c r="H253" s="106"/>
      <c r="I253" s="106"/>
      <c r="J253" s="106"/>
      <c r="K253" s="103"/>
      <c r="L253" s="124"/>
      <c r="M253" s="12" t="b">
        <f t="shared" si="14"/>
        <v>0</v>
      </c>
    </row>
    <row r="254" spans="2:13" ht="22.5">
      <c r="B254" s="26">
        <v>242</v>
      </c>
      <c r="C254" s="77"/>
      <c r="D254" s="69" t="str">
        <f t="shared" si="12"/>
        <v/>
      </c>
      <c r="E254" s="84"/>
      <c r="F254" s="126" t="str">
        <f t="shared" si="13"/>
        <v/>
      </c>
      <c r="G254" s="75"/>
      <c r="H254" s="106"/>
      <c r="I254" s="106"/>
      <c r="J254" s="106"/>
      <c r="K254" s="103"/>
      <c r="L254" s="124"/>
      <c r="M254" s="12" t="b">
        <f t="shared" si="14"/>
        <v>0</v>
      </c>
    </row>
    <row r="255" spans="2:13" ht="22.5">
      <c r="B255" s="26">
        <v>243</v>
      </c>
      <c r="C255" s="77"/>
      <c r="D255" s="69" t="str">
        <f t="shared" si="12"/>
        <v/>
      </c>
      <c r="E255" s="84"/>
      <c r="F255" s="126" t="str">
        <f t="shared" si="13"/>
        <v/>
      </c>
      <c r="G255" s="75"/>
      <c r="H255" s="106"/>
      <c r="I255" s="106"/>
      <c r="J255" s="106"/>
      <c r="K255" s="103"/>
      <c r="L255" s="124"/>
      <c r="M255" s="12" t="b">
        <f t="shared" si="14"/>
        <v>0</v>
      </c>
    </row>
    <row r="256" spans="2:13" ht="22.5">
      <c r="B256" s="26">
        <v>244</v>
      </c>
      <c r="C256" s="77"/>
      <c r="D256" s="69" t="str">
        <f t="shared" si="12"/>
        <v/>
      </c>
      <c r="E256" s="84"/>
      <c r="F256" s="126" t="str">
        <f t="shared" si="13"/>
        <v/>
      </c>
      <c r="G256" s="75"/>
      <c r="H256" s="106"/>
      <c r="I256" s="106"/>
      <c r="J256" s="106"/>
      <c r="K256" s="103"/>
      <c r="L256" s="124"/>
      <c r="M256" s="12" t="b">
        <f t="shared" si="14"/>
        <v>0</v>
      </c>
    </row>
    <row r="257" spans="2:13" ht="22.5">
      <c r="B257" s="26">
        <v>245</v>
      </c>
      <c r="C257" s="77"/>
      <c r="D257" s="69" t="str">
        <f t="shared" si="12"/>
        <v/>
      </c>
      <c r="E257" s="84"/>
      <c r="F257" s="126" t="str">
        <f t="shared" si="13"/>
        <v/>
      </c>
      <c r="G257" s="75"/>
      <c r="H257" s="106"/>
      <c r="I257" s="106"/>
      <c r="J257" s="106"/>
      <c r="K257" s="103"/>
      <c r="L257" s="124"/>
      <c r="M257" s="12" t="b">
        <f t="shared" si="14"/>
        <v>0</v>
      </c>
    </row>
    <row r="258" spans="2:13" ht="22.5">
      <c r="B258" s="26">
        <v>246</v>
      </c>
      <c r="C258" s="77"/>
      <c r="D258" s="69" t="str">
        <f t="shared" si="12"/>
        <v/>
      </c>
      <c r="E258" s="84"/>
      <c r="F258" s="126" t="str">
        <f t="shared" si="13"/>
        <v/>
      </c>
      <c r="G258" s="75"/>
      <c r="H258" s="106"/>
      <c r="I258" s="106"/>
      <c r="J258" s="106"/>
      <c r="K258" s="103"/>
      <c r="L258" s="124"/>
      <c r="M258" s="12" t="b">
        <f t="shared" si="14"/>
        <v>0</v>
      </c>
    </row>
    <row r="259" spans="2:13" ht="22.5">
      <c r="B259" s="26">
        <v>247</v>
      </c>
      <c r="C259" s="77"/>
      <c r="D259" s="69" t="str">
        <f t="shared" si="12"/>
        <v/>
      </c>
      <c r="E259" s="84"/>
      <c r="F259" s="126" t="str">
        <f t="shared" si="13"/>
        <v/>
      </c>
      <c r="G259" s="75"/>
      <c r="H259" s="106"/>
      <c r="I259" s="106"/>
      <c r="J259" s="106"/>
      <c r="K259" s="103"/>
      <c r="L259" s="124"/>
      <c r="M259" s="12" t="b">
        <f t="shared" si="14"/>
        <v>0</v>
      </c>
    </row>
    <row r="260" spans="2:13" ht="22.5">
      <c r="B260" s="26">
        <v>248</v>
      </c>
      <c r="C260" s="77"/>
      <c r="D260" s="69" t="str">
        <f t="shared" si="12"/>
        <v/>
      </c>
      <c r="E260" s="84"/>
      <c r="F260" s="126" t="str">
        <f t="shared" si="13"/>
        <v/>
      </c>
      <c r="G260" s="75"/>
      <c r="H260" s="106"/>
      <c r="I260" s="106"/>
      <c r="J260" s="106"/>
      <c r="K260" s="103"/>
      <c r="L260" s="124"/>
      <c r="M260" s="12" t="b">
        <f t="shared" si="14"/>
        <v>0</v>
      </c>
    </row>
    <row r="261" spans="2:13" ht="22.5">
      <c r="B261" s="26">
        <v>249</v>
      </c>
      <c r="C261" s="77"/>
      <c r="D261" s="69" t="str">
        <f t="shared" si="12"/>
        <v/>
      </c>
      <c r="E261" s="84"/>
      <c r="F261" s="126" t="str">
        <f t="shared" si="13"/>
        <v/>
      </c>
      <c r="G261" s="75"/>
      <c r="H261" s="106"/>
      <c r="I261" s="106"/>
      <c r="J261" s="106"/>
      <c r="K261" s="103"/>
      <c r="L261" s="124"/>
      <c r="M261" s="12" t="b">
        <f t="shared" si="14"/>
        <v>0</v>
      </c>
    </row>
    <row r="262" spans="2:13" ht="22.5">
      <c r="B262" s="26">
        <v>250</v>
      </c>
      <c r="C262" s="77"/>
      <c r="D262" s="69" t="str">
        <f t="shared" si="12"/>
        <v/>
      </c>
      <c r="E262" s="84"/>
      <c r="F262" s="126" t="str">
        <f t="shared" si="13"/>
        <v/>
      </c>
      <c r="G262" s="75"/>
      <c r="H262" s="106"/>
      <c r="I262" s="106"/>
      <c r="J262" s="106"/>
      <c r="K262" s="103"/>
      <c r="L262" s="124"/>
      <c r="M262" s="12" t="b">
        <f t="shared" si="14"/>
        <v>0</v>
      </c>
    </row>
    <row r="263" spans="2:13" ht="22.5">
      <c r="B263" s="26">
        <v>251</v>
      </c>
      <c r="C263" s="77"/>
      <c r="D263" s="69" t="str">
        <f t="shared" si="12"/>
        <v/>
      </c>
      <c r="E263" s="84"/>
      <c r="F263" s="126" t="str">
        <f t="shared" si="13"/>
        <v/>
      </c>
      <c r="G263" s="75"/>
      <c r="H263" s="106"/>
      <c r="I263" s="106"/>
      <c r="J263" s="106"/>
      <c r="K263" s="103"/>
      <c r="L263" s="124"/>
      <c r="M263" s="12" t="b">
        <f t="shared" si="14"/>
        <v>0</v>
      </c>
    </row>
    <row r="264" spans="2:13" ht="22.5">
      <c r="B264" s="26">
        <v>252</v>
      </c>
      <c r="C264" s="77"/>
      <c r="D264" s="69" t="str">
        <f t="shared" si="12"/>
        <v/>
      </c>
      <c r="E264" s="84"/>
      <c r="F264" s="126" t="str">
        <f t="shared" si="13"/>
        <v/>
      </c>
      <c r="G264" s="75"/>
      <c r="H264" s="106"/>
      <c r="I264" s="106"/>
      <c r="J264" s="106"/>
      <c r="K264" s="103"/>
      <c r="L264" s="124"/>
      <c r="M264" s="12" t="b">
        <f t="shared" si="14"/>
        <v>0</v>
      </c>
    </row>
    <row r="265" spans="2:13" ht="22.5">
      <c r="B265" s="26">
        <v>253</v>
      </c>
      <c r="C265" s="77"/>
      <c r="D265" s="69" t="str">
        <f t="shared" si="12"/>
        <v/>
      </c>
      <c r="E265" s="84"/>
      <c r="F265" s="126" t="str">
        <f t="shared" si="13"/>
        <v/>
      </c>
      <c r="G265" s="75"/>
      <c r="H265" s="106"/>
      <c r="I265" s="106"/>
      <c r="J265" s="106"/>
      <c r="K265" s="103"/>
      <c r="L265" s="124"/>
      <c r="M265" s="12" t="b">
        <f t="shared" si="14"/>
        <v>0</v>
      </c>
    </row>
    <row r="266" spans="2:13" ht="22.5">
      <c r="B266" s="26">
        <v>254</v>
      </c>
      <c r="C266" s="77"/>
      <c r="D266" s="69" t="str">
        <f t="shared" si="12"/>
        <v/>
      </c>
      <c r="E266" s="84"/>
      <c r="F266" s="126" t="str">
        <f t="shared" si="13"/>
        <v/>
      </c>
      <c r="G266" s="75"/>
      <c r="H266" s="106"/>
      <c r="I266" s="106"/>
      <c r="J266" s="106"/>
      <c r="K266" s="103"/>
      <c r="L266" s="124"/>
      <c r="M266" s="12" t="b">
        <f t="shared" si="14"/>
        <v>0</v>
      </c>
    </row>
    <row r="267" spans="2:13" ht="22.5">
      <c r="B267" s="26">
        <v>255</v>
      </c>
      <c r="C267" s="77"/>
      <c r="D267" s="69" t="str">
        <f t="shared" si="12"/>
        <v/>
      </c>
      <c r="E267" s="84"/>
      <c r="F267" s="126" t="str">
        <f t="shared" si="13"/>
        <v/>
      </c>
      <c r="G267" s="75"/>
      <c r="H267" s="106"/>
      <c r="I267" s="106"/>
      <c r="J267" s="106"/>
      <c r="K267" s="103"/>
      <c r="L267" s="124"/>
      <c r="M267" s="12" t="b">
        <f t="shared" si="14"/>
        <v>0</v>
      </c>
    </row>
    <row r="268" spans="2:13" ht="22.5">
      <c r="B268" s="26">
        <v>256</v>
      </c>
      <c r="C268" s="77"/>
      <c r="D268" s="69" t="str">
        <f t="shared" si="12"/>
        <v/>
      </c>
      <c r="E268" s="84"/>
      <c r="F268" s="126" t="str">
        <f t="shared" si="13"/>
        <v/>
      </c>
      <c r="G268" s="75"/>
      <c r="H268" s="106"/>
      <c r="I268" s="106"/>
      <c r="J268" s="106"/>
      <c r="K268" s="103"/>
      <c r="L268" s="124"/>
      <c r="M268" s="12" t="b">
        <f t="shared" si="14"/>
        <v>0</v>
      </c>
    </row>
    <row r="269" spans="2:13" ht="22.5">
      <c r="B269" s="26">
        <v>257</v>
      </c>
      <c r="C269" s="77"/>
      <c r="D269" s="69" t="str">
        <f t="shared" si="12"/>
        <v/>
      </c>
      <c r="E269" s="84"/>
      <c r="F269" s="126" t="str">
        <f t="shared" si="13"/>
        <v/>
      </c>
      <c r="G269" s="75"/>
      <c r="H269" s="106"/>
      <c r="I269" s="106"/>
      <c r="J269" s="106"/>
      <c r="K269" s="103"/>
      <c r="L269" s="124"/>
      <c r="M269" s="12" t="b">
        <f t="shared" si="14"/>
        <v>0</v>
      </c>
    </row>
    <row r="270" spans="2:13" ht="22.5">
      <c r="B270" s="26">
        <v>258</v>
      </c>
      <c r="C270" s="77"/>
      <c r="D270" s="69" t="str">
        <f t="shared" ref="D270:D333" si="15">IF(LEN(E270)=0,"",IF((AND(ISNUMBER(VALUE(E270)),LEN(E270)=12)),3,IF(AND(ISNUMBER(VALUE(E270)),(LEN(E270)=10)),1,IF(AND(OR((LEFT(E270)="R"),(LEFT(E270)="R")),(ISNUMBER(VALUE(RIGHT(E270,9)))),(LEN(E270)=10)),2,FALSE))))</f>
        <v/>
      </c>
      <c r="E270" s="84"/>
      <c r="F270" s="126" t="str">
        <f t="shared" ref="F270:F333" si="16">IF(D270=FALSE,"←ご確認ください",IF(OR(D270=1,D270=2,D270=3),"形式OK",""))</f>
        <v/>
      </c>
      <c r="G270" s="75"/>
      <c r="H270" s="106"/>
      <c r="I270" s="106"/>
      <c r="J270" s="106"/>
      <c r="K270" s="103"/>
      <c r="L270" s="124"/>
      <c r="M270" s="12" t="b">
        <f t="shared" ref="M270:M333" si="17">IF(COUNTA(E270,G270)=0,FALSE,TRUE)</f>
        <v>0</v>
      </c>
    </row>
    <row r="271" spans="2:13" ht="22.5">
      <c r="B271" s="26">
        <v>259</v>
      </c>
      <c r="C271" s="77"/>
      <c r="D271" s="69" t="str">
        <f t="shared" si="15"/>
        <v/>
      </c>
      <c r="E271" s="84"/>
      <c r="F271" s="126" t="str">
        <f t="shared" si="16"/>
        <v/>
      </c>
      <c r="G271" s="75"/>
      <c r="H271" s="106"/>
      <c r="I271" s="106"/>
      <c r="J271" s="106"/>
      <c r="K271" s="103"/>
      <c r="L271" s="124"/>
      <c r="M271" s="12" t="b">
        <f t="shared" si="17"/>
        <v>0</v>
      </c>
    </row>
    <row r="272" spans="2:13" ht="22.5">
      <c r="B272" s="26">
        <v>260</v>
      </c>
      <c r="C272" s="77"/>
      <c r="D272" s="69" t="str">
        <f t="shared" si="15"/>
        <v/>
      </c>
      <c r="E272" s="84"/>
      <c r="F272" s="126" t="str">
        <f t="shared" si="16"/>
        <v/>
      </c>
      <c r="G272" s="75"/>
      <c r="H272" s="106"/>
      <c r="I272" s="106"/>
      <c r="J272" s="106"/>
      <c r="K272" s="103"/>
      <c r="L272" s="124"/>
      <c r="M272" s="12" t="b">
        <f t="shared" si="17"/>
        <v>0</v>
      </c>
    </row>
    <row r="273" spans="2:13" ht="22.5">
      <c r="B273" s="26">
        <v>261</v>
      </c>
      <c r="C273" s="77"/>
      <c r="D273" s="69" t="str">
        <f t="shared" si="15"/>
        <v/>
      </c>
      <c r="E273" s="84"/>
      <c r="F273" s="126" t="str">
        <f t="shared" si="16"/>
        <v/>
      </c>
      <c r="G273" s="75"/>
      <c r="H273" s="106"/>
      <c r="I273" s="106"/>
      <c r="J273" s="106"/>
      <c r="K273" s="103"/>
      <c r="L273" s="124"/>
      <c r="M273" s="12" t="b">
        <f t="shared" si="17"/>
        <v>0</v>
      </c>
    </row>
    <row r="274" spans="2:13" ht="22.5">
      <c r="B274" s="26">
        <v>262</v>
      </c>
      <c r="C274" s="77"/>
      <c r="D274" s="69" t="str">
        <f t="shared" si="15"/>
        <v/>
      </c>
      <c r="E274" s="84"/>
      <c r="F274" s="126" t="str">
        <f t="shared" si="16"/>
        <v/>
      </c>
      <c r="G274" s="75"/>
      <c r="H274" s="106"/>
      <c r="I274" s="106"/>
      <c r="J274" s="106"/>
      <c r="K274" s="103"/>
      <c r="L274" s="124"/>
      <c r="M274" s="12" t="b">
        <f t="shared" si="17"/>
        <v>0</v>
      </c>
    </row>
    <row r="275" spans="2:13" ht="22.5">
      <c r="B275" s="26">
        <v>263</v>
      </c>
      <c r="C275" s="77"/>
      <c r="D275" s="69" t="str">
        <f t="shared" si="15"/>
        <v/>
      </c>
      <c r="E275" s="84"/>
      <c r="F275" s="126" t="str">
        <f t="shared" si="16"/>
        <v/>
      </c>
      <c r="G275" s="75"/>
      <c r="H275" s="106"/>
      <c r="I275" s="106"/>
      <c r="J275" s="106"/>
      <c r="K275" s="103"/>
      <c r="L275" s="124"/>
      <c r="M275" s="12" t="b">
        <f t="shared" si="17"/>
        <v>0</v>
      </c>
    </row>
    <row r="276" spans="2:13" ht="22.5">
      <c r="B276" s="26">
        <v>264</v>
      </c>
      <c r="C276" s="77"/>
      <c r="D276" s="69" t="str">
        <f t="shared" si="15"/>
        <v/>
      </c>
      <c r="E276" s="84"/>
      <c r="F276" s="126" t="str">
        <f t="shared" si="16"/>
        <v/>
      </c>
      <c r="G276" s="75"/>
      <c r="H276" s="106"/>
      <c r="I276" s="106"/>
      <c r="J276" s="106"/>
      <c r="K276" s="103"/>
      <c r="L276" s="124"/>
      <c r="M276" s="12" t="b">
        <f t="shared" si="17"/>
        <v>0</v>
      </c>
    </row>
    <row r="277" spans="2:13" ht="22.5">
      <c r="B277" s="26">
        <v>265</v>
      </c>
      <c r="C277" s="77"/>
      <c r="D277" s="69" t="str">
        <f t="shared" si="15"/>
        <v/>
      </c>
      <c r="E277" s="84"/>
      <c r="F277" s="126" t="str">
        <f t="shared" si="16"/>
        <v/>
      </c>
      <c r="G277" s="75"/>
      <c r="H277" s="106"/>
      <c r="I277" s="106"/>
      <c r="J277" s="106"/>
      <c r="K277" s="103"/>
      <c r="L277" s="124"/>
      <c r="M277" s="12" t="b">
        <f t="shared" si="17"/>
        <v>0</v>
      </c>
    </row>
    <row r="278" spans="2:13" ht="22.5">
      <c r="B278" s="26">
        <v>266</v>
      </c>
      <c r="C278" s="77"/>
      <c r="D278" s="69" t="str">
        <f t="shared" si="15"/>
        <v/>
      </c>
      <c r="E278" s="84"/>
      <c r="F278" s="126" t="str">
        <f t="shared" si="16"/>
        <v/>
      </c>
      <c r="G278" s="75"/>
      <c r="H278" s="106"/>
      <c r="I278" s="106"/>
      <c r="J278" s="106"/>
      <c r="K278" s="103"/>
      <c r="L278" s="124"/>
      <c r="M278" s="12" t="b">
        <f t="shared" si="17"/>
        <v>0</v>
      </c>
    </row>
    <row r="279" spans="2:13" ht="22.5">
      <c r="B279" s="26">
        <v>267</v>
      </c>
      <c r="C279" s="77"/>
      <c r="D279" s="69" t="str">
        <f t="shared" si="15"/>
        <v/>
      </c>
      <c r="E279" s="84"/>
      <c r="F279" s="126" t="str">
        <f t="shared" si="16"/>
        <v/>
      </c>
      <c r="G279" s="75"/>
      <c r="H279" s="106"/>
      <c r="I279" s="106"/>
      <c r="J279" s="106"/>
      <c r="K279" s="103"/>
      <c r="L279" s="124"/>
      <c r="M279" s="12" t="b">
        <f t="shared" si="17"/>
        <v>0</v>
      </c>
    </row>
    <row r="280" spans="2:13" ht="22.5">
      <c r="B280" s="26">
        <v>268</v>
      </c>
      <c r="C280" s="77"/>
      <c r="D280" s="69" t="str">
        <f t="shared" si="15"/>
        <v/>
      </c>
      <c r="E280" s="84"/>
      <c r="F280" s="126" t="str">
        <f t="shared" si="16"/>
        <v/>
      </c>
      <c r="G280" s="75"/>
      <c r="H280" s="106"/>
      <c r="I280" s="106"/>
      <c r="J280" s="106"/>
      <c r="K280" s="103"/>
      <c r="L280" s="124"/>
      <c r="M280" s="12" t="b">
        <f t="shared" si="17"/>
        <v>0</v>
      </c>
    </row>
    <row r="281" spans="2:13" ht="22.5">
      <c r="B281" s="26">
        <v>269</v>
      </c>
      <c r="C281" s="77"/>
      <c r="D281" s="69" t="str">
        <f t="shared" si="15"/>
        <v/>
      </c>
      <c r="E281" s="84"/>
      <c r="F281" s="126" t="str">
        <f t="shared" si="16"/>
        <v/>
      </c>
      <c r="G281" s="75"/>
      <c r="H281" s="106"/>
      <c r="I281" s="106"/>
      <c r="J281" s="106"/>
      <c r="K281" s="103"/>
      <c r="L281" s="124"/>
      <c r="M281" s="12" t="b">
        <f t="shared" si="17"/>
        <v>0</v>
      </c>
    </row>
    <row r="282" spans="2:13" ht="22.5">
      <c r="B282" s="26">
        <v>270</v>
      </c>
      <c r="C282" s="77"/>
      <c r="D282" s="69" t="str">
        <f t="shared" si="15"/>
        <v/>
      </c>
      <c r="E282" s="84"/>
      <c r="F282" s="126" t="str">
        <f t="shared" si="16"/>
        <v/>
      </c>
      <c r="G282" s="75"/>
      <c r="H282" s="106"/>
      <c r="I282" s="106"/>
      <c r="J282" s="106"/>
      <c r="K282" s="103"/>
      <c r="L282" s="124"/>
      <c r="M282" s="12" t="b">
        <f t="shared" si="17"/>
        <v>0</v>
      </c>
    </row>
    <row r="283" spans="2:13" ht="22.5">
      <c r="B283" s="26">
        <v>271</v>
      </c>
      <c r="C283" s="77"/>
      <c r="D283" s="69" t="str">
        <f t="shared" si="15"/>
        <v/>
      </c>
      <c r="E283" s="84"/>
      <c r="F283" s="126" t="str">
        <f t="shared" si="16"/>
        <v/>
      </c>
      <c r="G283" s="75"/>
      <c r="H283" s="106"/>
      <c r="I283" s="106"/>
      <c r="J283" s="106"/>
      <c r="K283" s="103"/>
      <c r="L283" s="124"/>
      <c r="M283" s="12" t="b">
        <f t="shared" si="17"/>
        <v>0</v>
      </c>
    </row>
    <row r="284" spans="2:13" ht="22.5">
      <c r="B284" s="26">
        <v>272</v>
      </c>
      <c r="C284" s="77"/>
      <c r="D284" s="69" t="str">
        <f t="shared" si="15"/>
        <v/>
      </c>
      <c r="E284" s="84"/>
      <c r="F284" s="126" t="str">
        <f t="shared" si="16"/>
        <v/>
      </c>
      <c r="G284" s="75"/>
      <c r="H284" s="106"/>
      <c r="I284" s="106"/>
      <c r="J284" s="106"/>
      <c r="K284" s="103"/>
      <c r="L284" s="124"/>
      <c r="M284" s="12" t="b">
        <f t="shared" si="17"/>
        <v>0</v>
      </c>
    </row>
    <row r="285" spans="2:13" ht="22.5">
      <c r="B285" s="26">
        <v>273</v>
      </c>
      <c r="C285" s="77"/>
      <c r="D285" s="69" t="str">
        <f t="shared" si="15"/>
        <v/>
      </c>
      <c r="E285" s="84"/>
      <c r="F285" s="126" t="str">
        <f t="shared" si="16"/>
        <v/>
      </c>
      <c r="G285" s="75"/>
      <c r="H285" s="106"/>
      <c r="I285" s="106"/>
      <c r="J285" s="106"/>
      <c r="K285" s="103"/>
      <c r="L285" s="124"/>
      <c r="M285" s="12" t="b">
        <f t="shared" si="17"/>
        <v>0</v>
      </c>
    </row>
    <row r="286" spans="2:13" ht="22.5">
      <c r="B286" s="26">
        <v>274</v>
      </c>
      <c r="C286" s="77"/>
      <c r="D286" s="69" t="str">
        <f t="shared" si="15"/>
        <v/>
      </c>
      <c r="E286" s="84"/>
      <c r="F286" s="126" t="str">
        <f t="shared" si="16"/>
        <v/>
      </c>
      <c r="G286" s="75"/>
      <c r="H286" s="106"/>
      <c r="I286" s="106"/>
      <c r="J286" s="106"/>
      <c r="K286" s="103"/>
      <c r="L286" s="124"/>
      <c r="M286" s="12" t="b">
        <f t="shared" si="17"/>
        <v>0</v>
      </c>
    </row>
    <row r="287" spans="2:13" ht="22.5">
      <c r="B287" s="26">
        <v>275</v>
      </c>
      <c r="C287" s="77"/>
      <c r="D287" s="69" t="str">
        <f t="shared" si="15"/>
        <v/>
      </c>
      <c r="E287" s="84"/>
      <c r="F287" s="126" t="str">
        <f t="shared" si="16"/>
        <v/>
      </c>
      <c r="G287" s="75"/>
      <c r="H287" s="106"/>
      <c r="I287" s="106"/>
      <c r="J287" s="106"/>
      <c r="K287" s="103"/>
      <c r="L287" s="124"/>
      <c r="M287" s="12" t="b">
        <f t="shared" si="17"/>
        <v>0</v>
      </c>
    </row>
    <row r="288" spans="2:13" ht="22.5">
      <c r="B288" s="26">
        <v>276</v>
      </c>
      <c r="C288" s="77"/>
      <c r="D288" s="69" t="str">
        <f t="shared" si="15"/>
        <v/>
      </c>
      <c r="E288" s="84"/>
      <c r="F288" s="126" t="str">
        <f t="shared" si="16"/>
        <v/>
      </c>
      <c r="G288" s="75"/>
      <c r="H288" s="106"/>
      <c r="I288" s="106"/>
      <c r="J288" s="106"/>
      <c r="K288" s="103"/>
      <c r="L288" s="124"/>
      <c r="M288" s="12" t="b">
        <f t="shared" si="17"/>
        <v>0</v>
      </c>
    </row>
    <row r="289" spans="2:13" ht="22.5">
      <c r="B289" s="26">
        <v>277</v>
      </c>
      <c r="C289" s="77"/>
      <c r="D289" s="69" t="str">
        <f t="shared" si="15"/>
        <v/>
      </c>
      <c r="E289" s="84"/>
      <c r="F289" s="126" t="str">
        <f t="shared" si="16"/>
        <v/>
      </c>
      <c r="G289" s="75"/>
      <c r="H289" s="106"/>
      <c r="I289" s="106"/>
      <c r="J289" s="106"/>
      <c r="K289" s="103"/>
      <c r="L289" s="124"/>
      <c r="M289" s="12" t="b">
        <f t="shared" si="17"/>
        <v>0</v>
      </c>
    </row>
    <row r="290" spans="2:13" ht="22.5">
      <c r="B290" s="26">
        <v>278</v>
      </c>
      <c r="C290" s="77"/>
      <c r="D290" s="69" t="str">
        <f t="shared" si="15"/>
        <v/>
      </c>
      <c r="E290" s="84"/>
      <c r="F290" s="126" t="str">
        <f t="shared" si="16"/>
        <v/>
      </c>
      <c r="G290" s="75"/>
      <c r="H290" s="106"/>
      <c r="I290" s="106"/>
      <c r="J290" s="106"/>
      <c r="K290" s="103"/>
      <c r="L290" s="124"/>
      <c r="M290" s="12" t="b">
        <f t="shared" si="17"/>
        <v>0</v>
      </c>
    </row>
    <row r="291" spans="2:13" ht="22.5">
      <c r="B291" s="26">
        <v>279</v>
      </c>
      <c r="C291" s="77"/>
      <c r="D291" s="69" t="str">
        <f t="shared" si="15"/>
        <v/>
      </c>
      <c r="E291" s="84"/>
      <c r="F291" s="126" t="str">
        <f t="shared" si="16"/>
        <v/>
      </c>
      <c r="G291" s="75"/>
      <c r="H291" s="106"/>
      <c r="I291" s="106"/>
      <c r="J291" s="106"/>
      <c r="K291" s="103"/>
      <c r="L291" s="124"/>
      <c r="M291" s="12" t="b">
        <f t="shared" si="17"/>
        <v>0</v>
      </c>
    </row>
    <row r="292" spans="2:13" ht="22.5">
      <c r="B292" s="26">
        <v>280</v>
      </c>
      <c r="C292" s="77"/>
      <c r="D292" s="69" t="str">
        <f t="shared" si="15"/>
        <v/>
      </c>
      <c r="E292" s="84"/>
      <c r="F292" s="126" t="str">
        <f t="shared" si="16"/>
        <v/>
      </c>
      <c r="G292" s="75"/>
      <c r="H292" s="106"/>
      <c r="I292" s="106"/>
      <c r="J292" s="106"/>
      <c r="K292" s="103"/>
      <c r="L292" s="124"/>
      <c r="M292" s="12" t="b">
        <f t="shared" si="17"/>
        <v>0</v>
      </c>
    </row>
    <row r="293" spans="2:13" ht="22.5">
      <c r="B293" s="26">
        <v>281</v>
      </c>
      <c r="C293" s="77"/>
      <c r="D293" s="69" t="str">
        <f t="shared" si="15"/>
        <v/>
      </c>
      <c r="E293" s="84"/>
      <c r="F293" s="126" t="str">
        <f t="shared" si="16"/>
        <v/>
      </c>
      <c r="G293" s="75"/>
      <c r="H293" s="106"/>
      <c r="I293" s="106"/>
      <c r="J293" s="106"/>
      <c r="K293" s="103"/>
      <c r="L293" s="124"/>
      <c r="M293" s="12" t="b">
        <f t="shared" si="17"/>
        <v>0</v>
      </c>
    </row>
    <row r="294" spans="2:13" ht="22.5">
      <c r="B294" s="26">
        <v>282</v>
      </c>
      <c r="C294" s="77"/>
      <c r="D294" s="69" t="str">
        <f t="shared" si="15"/>
        <v/>
      </c>
      <c r="E294" s="84"/>
      <c r="F294" s="126" t="str">
        <f t="shared" si="16"/>
        <v/>
      </c>
      <c r="G294" s="75"/>
      <c r="H294" s="106"/>
      <c r="I294" s="106"/>
      <c r="J294" s="106"/>
      <c r="K294" s="103"/>
      <c r="L294" s="124"/>
      <c r="M294" s="12" t="b">
        <f t="shared" si="17"/>
        <v>0</v>
      </c>
    </row>
    <row r="295" spans="2:13" ht="22.5">
      <c r="B295" s="26">
        <v>283</v>
      </c>
      <c r="C295" s="77"/>
      <c r="D295" s="69" t="str">
        <f t="shared" si="15"/>
        <v/>
      </c>
      <c r="E295" s="84"/>
      <c r="F295" s="126" t="str">
        <f t="shared" si="16"/>
        <v/>
      </c>
      <c r="G295" s="75"/>
      <c r="H295" s="106"/>
      <c r="I295" s="106"/>
      <c r="J295" s="106"/>
      <c r="K295" s="103"/>
      <c r="L295" s="124"/>
      <c r="M295" s="12" t="b">
        <f t="shared" si="17"/>
        <v>0</v>
      </c>
    </row>
    <row r="296" spans="2:13" ht="22.5">
      <c r="B296" s="26">
        <v>284</v>
      </c>
      <c r="C296" s="77"/>
      <c r="D296" s="69" t="str">
        <f t="shared" si="15"/>
        <v/>
      </c>
      <c r="E296" s="84"/>
      <c r="F296" s="126" t="str">
        <f t="shared" si="16"/>
        <v/>
      </c>
      <c r="G296" s="75"/>
      <c r="H296" s="106"/>
      <c r="I296" s="106"/>
      <c r="J296" s="106"/>
      <c r="K296" s="103"/>
      <c r="L296" s="124"/>
      <c r="M296" s="12" t="b">
        <f t="shared" si="17"/>
        <v>0</v>
      </c>
    </row>
    <row r="297" spans="2:13" ht="22.5">
      <c r="B297" s="26">
        <v>285</v>
      </c>
      <c r="C297" s="77"/>
      <c r="D297" s="69" t="str">
        <f t="shared" si="15"/>
        <v/>
      </c>
      <c r="E297" s="84"/>
      <c r="F297" s="126" t="str">
        <f t="shared" si="16"/>
        <v/>
      </c>
      <c r="G297" s="75"/>
      <c r="H297" s="106"/>
      <c r="I297" s="106"/>
      <c r="J297" s="106"/>
      <c r="K297" s="103"/>
      <c r="L297" s="124"/>
      <c r="M297" s="12" t="b">
        <f t="shared" si="17"/>
        <v>0</v>
      </c>
    </row>
    <row r="298" spans="2:13" ht="22.5">
      <c r="B298" s="26">
        <v>286</v>
      </c>
      <c r="C298" s="77"/>
      <c r="D298" s="69" t="str">
        <f t="shared" si="15"/>
        <v/>
      </c>
      <c r="E298" s="84"/>
      <c r="F298" s="126" t="str">
        <f t="shared" si="16"/>
        <v/>
      </c>
      <c r="G298" s="75"/>
      <c r="H298" s="106"/>
      <c r="I298" s="106"/>
      <c r="J298" s="106"/>
      <c r="K298" s="103"/>
      <c r="L298" s="124"/>
      <c r="M298" s="12" t="b">
        <f t="shared" si="17"/>
        <v>0</v>
      </c>
    </row>
    <row r="299" spans="2:13" ht="22.5">
      <c r="B299" s="26">
        <v>287</v>
      </c>
      <c r="C299" s="77"/>
      <c r="D299" s="69" t="str">
        <f t="shared" si="15"/>
        <v/>
      </c>
      <c r="E299" s="84"/>
      <c r="F299" s="126" t="str">
        <f t="shared" si="16"/>
        <v/>
      </c>
      <c r="G299" s="75"/>
      <c r="H299" s="106"/>
      <c r="I299" s="106"/>
      <c r="J299" s="106"/>
      <c r="K299" s="103"/>
      <c r="L299" s="124"/>
      <c r="M299" s="12" t="b">
        <f t="shared" si="17"/>
        <v>0</v>
      </c>
    </row>
    <row r="300" spans="2:13" ht="22.5">
      <c r="B300" s="26">
        <v>288</v>
      </c>
      <c r="C300" s="77"/>
      <c r="D300" s="69" t="str">
        <f t="shared" si="15"/>
        <v/>
      </c>
      <c r="E300" s="84"/>
      <c r="F300" s="126" t="str">
        <f t="shared" si="16"/>
        <v/>
      </c>
      <c r="G300" s="75"/>
      <c r="H300" s="106"/>
      <c r="I300" s="106"/>
      <c r="J300" s="106"/>
      <c r="K300" s="103"/>
      <c r="L300" s="124"/>
      <c r="M300" s="12" t="b">
        <f t="shared" si="17"/>
        <v>0</v>
      </c>
    </row>
    <row r="301" spans="2:13" ht="22.5">
      <c r="B301" s="26">
        <v>289</v>
      </c>
      <c r="C301" s="77"/>
      <c r="D301" s="69" t="str">
        <f t="shared" si="15"/>
        <v/>
      </c>
      <c r="E301" s="84"/>
      <c r="F301" s="126" t="str">
        <f t="shared" si="16"/>
        <v/>
      </c>
      <c r="G301" s="75"/>
      <c r="H301" s="106"/>
      <c r="I301" s="106"/>
      <c r="J301" s="106"/>
      <c r="K301" s="103"/>
      <c r="L301" s="124"/>
      <c r="M301" s="12" t="b">
        <f t="shared" si="17"/>
        <v>0</v>
      </c>
    </row>
    <row r="302" spans="2:13" ht="22.5">
      <c r="B302" s="26">
        <v>290</v>
      </c>
      <c r="C302" s="77"/>
      <c r="D302" s="69" t="str">
        <f t="shared" si="15"/>
        <v/>
      </c>
      <c r="E302" s="84"/>
      <c r="F302" s="126" t="str">
        <f t="shared" si="16"/>
        <v/>
      </c>
      <c r="G302" s="75"/>
      <c r="H302" s="106"/>
      <c r="I302" s="106"/>
      <c r="J302" s="106"/>
      <c r="K302" s="103"/>
      <c r="L302" s="124"/>
      <c r="M302" s="12" t="b">
        <f t="shared" si="17"/>
        <v>0</v>
      </c>
    </row>
    <row r="303" spans="2:13" ht="22.5">
      <c r="B303" s="26">
        <v>291</v>
      </c>
      <c r="C303" s="77"/>
      <c r="D303" s="69" t="str">
        <f t="shared" si="15"/>
        <v/>
      </c>
      <c r="E303" s="84"/>
      <c r="F303" s="126" t="str">
        <f t="shared" si="16"/>
        <v/>
      </c>
      <c r="G303" s="75"/>
      <c r="H303" s="106"/>
      <c r="I303" s="106"/>
      <c r="J303" s="106"/>
      <c r="K303" s="103"/>
      <c r="L303" s="124"/>
      <c r="M303" s="12" t="b">
        <f t="shared" si="17"/>
        <v>0</v>
      </c>
    </row>
    <row r="304" spans="2:13" ht="22.5">
      <c r="B304" s="26">
        <v>292</v>
      </c>
      <c r="C304" s="77"/>
      <c r="D304" s="69" t="str">
        <f t="shared" si="15"/>
        <v/>
      </c>
      <c r="E304" s="84"/>
      <c r="F304" s="126" t="str">
        <f t="shared" si="16"/>
        <v/>
      </c>
      <c r="G304" s="75"/>
      <c r="H304" s="106"/>
      <c r="I304" s="106"/>
      <c r="J304" s="106"/>
      <c r="K304" s="103"/>
      <c r="L304" s="124"/>
      <c r="M304" s="12" t="b">
        <f t="shared" si="17"/>
        <v>0</v>
      </c>
    </row>
    <row r="305" spans="2:13" ht="22.5">
      <c r="B305" s="26">
        <v>293</v>
      </c>
      <c r="C305" s="77"/>
      <c r="D305" s="69" t="str">
        <f t="shared" si="15"/>
        <v/>
      </c>
      <c r="E305" s="84"/>
      <c r="F305" s="126" t="str">
        <f t="shared" si="16"/>
        <v/>
      </c>
      <c r="G305" s="75"/>
      <c r="H305" s="106"/>
      <c r="I305" s="106"/>
      <c r="J305" s="106"/>
      <c r="K305" s="103"/>
      <c r="L305" s="124"/>
      <c r="M305" s="12" t="b">
        <f t="shared" si="17"/>
        <v>0</v>
      </c>
    </row>
    <row r="306" spans="2:13" ht="22.5">
      <c r="B306" s="26">
        <v>294</v>
      </c>
      <c r="C306" s="77"/>
      <c r="D306" s="69" t="str">
        <f t="shared" si="15"/>
        <v/>
      </c>
      <c r="E306" s="84"/>
      <c r="F306" s="126" t="str">
        <f t="shared" si="16"/>
        <v/>
      </c>
      <c r="G306" s="75"/>
      <c r="H306" s="106"/>
      <c r="I306" s="106"/>
      <c r="J306" s="106"/>
      <c r="K306" s="103"/>
      <c r="L306" s="124"/>
      <c r="M306" s="12" t="b">
        <f t="shared" si="17"/>
        <v>0</v>
      </c>
    </row>
    <row r="307" spans="2:13" ht="22.5">
      <c r="B307" s="26">
        <v>295</v>
      </c>
      <c r="C307" s="77"/>
      <c r="D307" s="69" t="str">
        <f t="shared" si="15"/>
        <v/>
      </c>
      <c r="E307" s="84"/>
      <c r="F307" s="126" t="str">
        <f t="shared" si="16"/>
        <v/>
      </c>
      <c r="G307" s="75"/>
      <c r="H307" s="106"/>
      <c r="I307" s="106"/>
      <c r="J307" s="106"/>
      <c r="K307" s="103"/>
      <c r="L307" s="124"/>
      <c r="M307" s="12" t="b">
        <f t="shared" si="17"/>
        <v>0</v>
      </c>
    </row>
    <row r="308" spans="2:13" ht="22.5">
      <c r="B308" s="26">
        <v>296</v>
      </c>
      <c r="C308" s="77"/>
      <c r="D308" s="69" t="str">
        <f t="shared" si="15"/>
        <v/>
      </c>
      <c r="E308" s="84"/>
      <c r="F308" s="126" t="str">
        <f t="shared" si="16"/>
        <v/>
      </c>
      <c r="G308" s="75"/>
      <c r="H308" s="106"/>
      <c r="I308" s="106"/>
      <c r="J308" s="106"/>
      <c r="K308" s="103"/>
      <c r="L308" s="124"/>
      <c r="M308" s="12" t="b">
        <f t="shared" si="17"/>
        <v>0</v>
      </c>
    </row>
    <row r="309" spans="2:13" ht="22.5">
      <c r="B309" s="26">
        <v>297</v>
      </c>
      <c r="C309" s="77"/>
      <c r="D309" s="69" t="str">
        <f t="shared" si="15"/>
        <v/>
      </c>
      <c r="E309" s="84"/>
      <c r="F309" s="126" t="str">
        <f t="shared" si="16"/>
        <v/>
      </c>
      <c r="G309" s="75"/>
      <c r="H309" s="106"/>
      <c r="I309" s="106"/>
      <c r="J309" s="106"/>
      <c r="K309" s="103"/>
      <c r="L309" s="124"/>
      <c r="M309" s="12" t="b">
        <f t="shared" si="17"/>
        <v>0</v>
      </c>
    </row>
    <row r="310" spans="2:13" ht="22.5">
      <c r="B310" s="26">
        <v>298</v>
      </c>
      <c r="C310" s="77"/>
      <c r="D310" s="69" t="str">
        <f t="shared" si="15"/>
        <v/>
      </c>
      <c r="E310" s="84"/>
      <c r="F310" s="126" t="str">
        <f t="shared" si="16"/>
        <v/>
      </c>
      <c r="G310" s="75"/>
      <c r="H310" s="106"/>
      <c r="I310" s="106"/>
      <c r="J310" s="106"/>
      <c r="K310" s="103"/>
      <c r="L310" s="124"/>
      <c r="M310" s="12" t="b">
        <f t="shared" si="17"/>
        <v>0</v>
      </c>
    </row>
    <row r="311" spans="2:13" ht="22.5">
      <c r="B311" s="26">
        <v>299</v>
      </c>
      <c r="C311" s="77"/>
      <c r="D311" s="69" t="str">
        <f t="shared" si="15"/>
        <v/>
      </c>
      <c r="E311" s="84"/>
      <c r="F311" s="126" t="str">
        <f t="shared" si="16"/>
        <v/>
      </c>
      <c r="G311" s="75"/>
      <c r="H311" s="106"/>
      <c r="I311" s="106"/>
      <c r="J311" s="106"/>
      <c r="K311" s="103"/>
      <c r="L311" s="124"/>
      <c r="M311" s="12" t="b">
        <f t="shared" si="17"/>
        <v>0</v>
      </c>
    </row>
    <row r="312" spans="2:13" ht="22.5">
      <c r="B312" s="26">
        <v>300</v>
      </c>
      <c r="C312" s="77"/>
      <c r="D312" s="69" t="str">
        <f t="shared" si="15"/>
        <v/>
      </c>
      <c r="E312" s="84"/>
      <c r="F312" s="126" t="str">
        <f t="shared" si="16"/>
        <v/>
      </c>
      <c r="G312" s="75"/>
      <c r="H312" s="106"/>
      <c r="I312" s="106"/>
      <c r="J312" s="106"/>
      <c r="K312" s="103"/>
      <c r="L312" s="124"/>
      <c r="M312" s="12" t="b">
        <f t="shared" si="17"/>
        <v>0</v>
      </c>
    </row>
    <row r="313" spans="2:13" ht="22.5">
      <c r="B313" s="26">
        <v>301</v>
      </c>
      <c r="C313" s="77"/>
      <c r="D313" s="69" t="str">
        <f t="shared" si="15"/>
        <v/>
      </c>
      <c r="E313" s="84"/>
      <c r="F313" s="126" t="str">
        <f t="shared" si="16"/>
        <v/>
      </c>
      <c r="G313" s="75"/>
      <c r="H313" s="106"/>
      <c r="I313" s="106"/>
      <c r="J313" s="106"/>
      <c r="K313" s="103"/>
      <c r="L313" s="124"/>
      <c r="M313" s="12" t="b">
        <f t="shared" si="17"/>
        <v>0</v>
      </c>
    </row>
    <row r="314" spans="2:13" ht="22.5">
      <c r="B314" s="26">
        <v>302</v>
      </c>
      <c r="C314" s="77"/>
      <c r="D314" s="69" t="str">
        <f t="shared" si="15"/>
        <v/>
      </c>
      <c r="E314" s="84"/>
      <c r="F314" s="126" t="str">
        <f t="shared" si="16"/>
        <v/>
      </c>
      <c r="G314" s="75"/>
      <c r="H314" s="106"/>
      <c r="I314" s="106"/>
      <c r="J314" s="106"/>
      <c r="K314" s="103"/>
      <c r="L314" s="124"/>
      <c r="M314" s="12" t="b">
        <f t="shared" si="17"/>
        <v>0</v>
      </c>
    </row>
    <row r="315" spans="2:13" ht="22.5">
      <c r="B315" s="26">
        <v>303</v>
      </c>
      <c r="C315" s="77"/>
      <c r="D315" s="69" t="str">
        <f t="shared" si="15"/>
        <v/>
      </c>
      <c r="E315" s="84"/>
      <c r="F315" s="126" t="str">
        <f t="shared" si="16"/>
        <v/>
      </c>
      <c r="G315" s="75"/>
      <c r="H315" s="106"/>
      <c r="I315" s="106"/>
      <c r="J315" s="106"/>
      <c r="K315" s="103"/>
      <c r="L315" s="124"/>
      <c r="M315" s="12" t="b">
        <f t="shared" si="17"/>
        <v>0</v>
      </c>
    </row>
    <row r="316" spans="2:13" ht="22.5">
      <c r="B316" s="26">
        <v>304</v>
      </c>
      <c r="C316" s="77"/>
      <c r="D316" s="69" t="str">
        <f t="shared" si="15"/>
        <v/>
      </c>
      <c r="E316" s="84"/>
      <c r="F316" s="126" t="str">
        <f t="shared" si="16"/>
        <v/>
      </c>
      <c r="G316" s="75"/>
      <c r="H316" s="106"/>
      <c r="I316" s="106"/>
      <c r="J316" s="106"/>
      <c r="K316" s="103"/>
      <c r="L316" s="124"/>
      <c r="M316" s="12" t="b">
        <f t="shared" si="17"/>
        <v>0</v>
      </c>
    </row>
    <row r="317" spans="2:13" ht="22.5">
      <c r="B317" s="26">
        <v>305</v>
      </c>
      <c r="C317" s="77"/>
      <c r="D317" s="69" t="str">
        <f t="shared" si="15"/>
        <v/>
      </c>
      <c r="E317" s="84"/>
      <c r="F317" s="126" t="str">
        <f t="shared" si="16"/>
        <v/>
      </c>
      <c r="G317" s="75"/>
      <c r="H317" s="106"/>
      <c r="I317" s="106"/>
      <c r="J317" s="106"/>
      <c r="K317" s="103"/>
      <c r="L317" s="124"/>
      <c r="M317" s="12" t="b">
        <f t="shared" si="17"/>
        <v>0</v>
      </c>
    </row>
    <row r="318" spans="2:13" ht="22.5">
      <c r="B318" s="26">
        <v>306</v>
      </c>
      <c r="C318" s="77"/>
      <c r="D318" s="69" t="str">
        <f t="shared" si="15"/>
        <v/>
      </c>
      <c r="E318" s="84"/>
      <c r="F318" s="126" t="str">
        <f t="shared" si="16"/>
        <v/>
      </c>
      <c r="G318" s="75"/>
      <c r="H318" s="106"/>
      <c r="I318" s="106"/>
      <c r="J318" s="106"/>
      <c r="K318" s="103"/>
      <c r="L318" s="124"/>
      <c r="M318" s="12" t="b">
        <f t="shared" si="17"/>
        <v>0</v>
      </c>
    </row>
    <row r="319" spans="2:13" ht="22.5">
      <c r="B319" s="26">
        <v>307</v>
      </c>
      <c r="C319" s="77"/>
      <c r="D319" s="69" t="str">
        <f t="shared" si="15"/>
        <v/>
      </c>
      <c r="E319" s="84"/>
      <c r="F319" s="126" t="str">
        <f t="shared" si="16"/>
        <v/>
      </c>
      <c r="G319" s="75"/>
      <c r="H319" s="106"/>
      <c r="I319" s="106"/>
      <c r="J319" s="106"/>
      <c r="K319" s="103"/>
      <c r="L319" s="124"/>
      <c r="M319" s="12" t="b">
        <f t="shared" si="17"/>
        <v>0</v>
      </c>
    </row>
    <row r="320" spans="2:13" ht="22.5">
      <c r="B320" s="26">
        <v>308</v>
      </c>
      <c r="C320" s="77"/>
      <c r="D320" s="69" t="str">
        <f t="shared" si="15"/>
        <v/>
      </c>
      <c r="E320" s="84"/>
      <c r="F320" s="126" t="str">
        <f t="shared" si="16"/>
        <v/>
      </c>
      <c r="G320" s="75"/>
      <c r="H320" s="106"/>
      <c r="I320" s="106"/>
      <c r="J320" s="106"/>
      <c r="K320" s="103"/>
      <c r="L320" s="124"/>
      <c r="M320" s="12" t="b">
        <f t="shared" si="17"/>
        <v>0</v>
      </c>
    </row>
    <row r="321" spans="2:13" ht="22.5">
      <c r="B321" s="26">
        <v>309</v>
      </c>
      <c r="C321" s="77"/>
      <c r="D321" s="69" t="str">
        <f t="shared" si="15"/>
        <v/>
      </c>
      <c r="E321" s="84"/>
      <c r="F321" s="126" t="str">
        <f t="shared" si="16"/>
        <v/>
      </c>
      <c r="G321" s="75"/>
      <c r="H321" s="106"/>
      <c r="I321" s="106"/>
      <c r="J321" s="106"/>
      <c r="K321" s="103"/>
      <c r="L321" s="124"/>
      <c r="M321" s="12" t="b">
        <f t="shared" si="17"/>
        <v>0</v>
      </c>
    </row>
    <row r="322" spans="2:13" ht="22.5">
      <c r="B322" s="26">
        <v>310</v>
      </c>
      <c r="C322" s="77"/>
      <c r="D322" s="69" t="str">
        <f t="shared" si="15"/>
        <v/>
      </c>
      <c r="E322" s="84"/>
      <c r="F322" s="126" t="str">
        <f t="shared" si="16"/>
        <v/>
      </c>
      <c r="G322" s="75"/>
      <c r="H322" s="106"/>
      <c r="I322" s="106"/>
      <c r="J322" s="106"/>
      <c r="K322" s="103"/>
      <c r="L322" s="124"/>
      <c r="M322" s="12" t="b">
        <f t="shared" si="17"/>
        <v>0</v>
      </c>
    </row>
    <row r="323" spans="2:13" ht="22.5">
      <c r="B323" s="26">
        <v>311</v>
      </c>
      <c r="C323" s="77"/>
      <c r="D323" s="69" t="str">
        <f t="shared" si="15"/>
        <v/>
      </c>
      <c r="E323" s="84"/>
      <c r="F323" s="126" t="str">
        <f t="shared" si="16"/>
        <v/>
      </c>
      <c r="G323" s="75"/>
      <c r="H323" s="106"/>
      <c r="I323" s="106"/>
      <c r="J323" s="106"/>
      <c r="K323" s="103"/>
      <c r="L323" s="124"/>
      <c r="M323" s="12" t="b">
        <f t="shared" si="17"/>
        <v>0</v>
      </c>
    </row>
    <row r="324" spans="2:13" ht="22.5">
      <c r="B324" s="26">
        <v>312</v>
      </c>
      <c r="C324" s="77"/>
      <c r="D324" s="69" t="str">
        <f t="shared" si="15"/>
        <v/>
      </c>
      <c r="E324" s="84"/>
      <c r="F324" s="126" t="str">
        <f t="shared" si="16"/>
        <v/>
      </c>
      <c r="G324" s="75"/>
      <c r="H324" s="106"/>
      <c r="I324" s="106"/>
      <c r="J324" s="106"/>
      <c r="K324" s="103"/>
      <c r="L324" s="124"/>
      <c r="M324" s="12" t="b">
        <f t="shared" si="17"/>
        <v>0</v>
      </c>
    </row>
    <row r="325" spans="2:13" ht="22.5">
      <c r="B325" s="26">
        <v>313</v>
      </c>
      <c r="C325" s="77"/>
      <c r="D325" s="69" t="str">
        <f t="shared" si="15"/>
        <v/>
      </c>
      <c r="E325" s="84"/>
      <c r="F325" s="126" t="str">
        <f t="shared" si="16"/>
        <v/>
      </c>
      <c r="G325" s="75"/>
      <c r="H325" s="106"/>
      <c r="I325" s="106"/>
      <c r="J325" s="106"/>
      <c r="K325" s="103"/>
      <c r="L325" s="124"/>
      <c r="M325" s="12" t="b">
        <f t="shared" si="17"/>
        <v>0</v>
      </c>
    </row>
    <row r="326" spans="2:13" ht="22.5">
      <c r="B326" s="26">
        <v>314</v>
      </c>
      <c r="C326" s="77"/>
      <c r="D326" s="69" t="str">
        <f t="shared" si="15"/>
        <v/>
      </c>
      <c r="E326" s="84"/>
      <c r="F326" s="126" t="str">
        <f t="shared" si="16"/>
        <v/>
      </c>
      <c r="G326" s="75"/>
      <c r="H326" s="106"/>
      <c r="I326" s="106"/>
      <c r="J326" s="106"/>
      <c r="K326" s="103"/>
      <c r="L326" s="124"/>
      <c r="M326" s="12" t="b">
        <f t="shared" si="17"/>
        <v>0</v>
      </c>
    </row>
    <row r="327" spans="2:13" ht="22.5">
      <c r="B327" s="26">
        <v>315</v>
      </c>
      <c r="C327" s="77"/>
      <c r="D327" s="69" t="str">
        <f t="shared" si="15"/>
        <v/>
      </c>
      <c r="E327" s="84"/>
      <c r="F327" s="126" t="str">
        <f t="shared" si="16"/>
        <v/>
      </c>
      <c r="G327" s="75"/>
      <c r="H327" s="106"/>
      <c r="I327" s="106"/>
      <c r="J327" s="106"/>
      <c r="K327" s="103"/>
      <c r="L327" s="124"/>
      <c r="M327" s="12" t="b">
        <f t="shared" si="17"/>
        <v>0</v>
      </c>
    </row>
    <row r="328" spans="2:13" ht="22.5">
      <c r="B328" s="26">
        <v>316</v>
      </c>
      <c r="C328" s="77"/>
      <c r="D328" s="69" t="str">
        <f t="shared" si="15"/>
        <v/>
      </c>
      <c r="E328" s="84"/>
      <c r="F328" s="126" t="str">
        <f t="shared" si="16"/>
        <v/>
      </c>
      <c r="G328" s="75"/>
      <c r="H328" s="106"/>
      <c r="I328" s="106"/>
      <c r="J328" s="106"/>
      <c r="K328" s="103"/>
      <c r="L328" s="124"/>
      <c r="M328" s="12" t="b">
        <f t="shared" si="17"/>
        <v>0</v>
      </c>
    </row>
    <row r="329" spans="2:13" ht="22.5">
      <c r="B329" s="26">
        <v>317</v>
      </c>
      <c r="C329" s="77"/>
      <c r="D329" s="69" t="str">
        <f t="shared" si="15"/>
        <v/>
      </c>
      <c r="E329" s="84"/>
      <c r="F329" s="126" t="str">
        <f t="shared" si="16"/>
        <v/>
      </c>
      <c r="G329" s="75"/>
      <c r="H329" s="106"/>
      <c r="I329" s="106"/>
      <c r="J329" s="106"/>
      <c r="K329" s="103"/>
      <c r="L329" s="124"/>
      <c r="M329" s="12" t="b">
        <f t="shared" si="17"/>
        <v>0</v>
      </c>
    </row>
    <row r="330" spans="2:13" ht="22.5">
      <c r="B330" s="26">
        <v>318</v>
      </c>
      <c r="C330" s="77"/>
      <c r="D330" s="69" t="str">
        <f t="shared" si="15"/>
        <v/>
      </c>
      <c r="E330" s="84"/>
      <c r="F330" s="126" t="str">
        <f t="shared" si="16"/>
        <v/>
      </c>
      <c r="G330" s="75"/>
      <c r="H330" s="106"/>
      <c r="I330" s="106"/>
      <c r="J330" s="106"/>
      <c r="K330" s="103"/>
      <c r="L330" s="124"/>
      <c r="M330" s="12" t="b">
        <f t="shared" si="17"/>
        <v>0</v>
      </c>
    </row>
    <row r="331" spans="2:13" ht="22.5">
      <c r="B331" s="26">
        <v>319</v>
      </c>
      <c r="C331" s="77"/>
      <c r="D331" s="69" t="str">
        <f t="shared" si="15"/>
        <v/>
      </c>
      <c r="E331" s="84"/>
      <c r="F331" s="126" t="str">
        <f t="shared" si="16"/>
        <v/>
      </c>
      <c r="G331" s="75"/>
      <c r="H331" s="106"/>
      <c r="I331" s="106"/>
      <c r="J331" s="106"/>
      <c r="K331" s="103"/>
      <c r="L331" s="124"/>
      <c r="M331" s="12" t="b">
        <f t="shared" si="17"/>
        <v>0</v>
      </c>
    </row>
    <row r="332" spans="2:13" ht="22.5">
      <c r="B332" s="26">
        <v>320</v>
      </c>
      <c r="C332" s="77"/>
      <c r="D332" s="69" t="str">
        <f t="shared" si="15"/>
        <v/>
      </c>
      <c r="E332" s="84"/>
      <c r="F332" s="126" t="str">
        <f t="shared" si="16"/>
        <v/>
      </c>
      <c r="G332" s="75"/>
      <c r="H332" s="106"/>
      <c r="I332" s="106"/>
      <c r="J332" s="106"/>
      <c r="K332" s="103"/>
      <c r="L332" s="124"/>
      <c r="M332" s="12" t="b">
        <f t="shared" si="17"/>
        <v>0</v>
      </c>
    </row>
    <row r="333" spans="2:13" ht="22.5">
      <c r="B333" s="26">
        <v>321</v>
      </c>
      <c r="C333" s="77"/>
      <c r="D333" s="69" t="str">
        <f t="shared" si="15"/>
        <v/>
      </c>
      <c r="E333" s="84"/>
      <c r="F333" s="126" t="str">
        <f t="shared" si="16"/>
        <v/>
      </c>
      <c r="G333" s="75"/>
      <c r="H333" s="106"/>
      <c r="I333" s="106"/>
      <c r="J333" s="106"/>
      <c r="K333" s="103"/>
      <c r="L333" s="124"/>
      <c r="M333" s="12" t="b">
        <f t="shared" si="17"/>
        <v>0</v>
      </c>
    </row>
    <row r="334" spans="2:13" ht="22.5">
      <c r="B334" s="26">
        <v>322</v>
      </c>
      <c r="C334" s="77"/>
      <c r="D334" s="69" t="str">
        <f t="shared" ref="D334:D397" si="18">IF(LEN(E334)=0,"",IF((AND(ISNUMBER(VALUE(E334)),LEN(E334)=12)),3,IF(AND(ISNUMBER(VALUE(E334)),(LEN(E334)=10)),1,IF(AND(OR((LEFT(E334)="R"),(LEFT(E334)="R")),(ISNUMBER(VALUE(RIGHT(E334,9)))),(LEN(E334)=10)),2,FALSE))))</f>
        <v/>
      </c>
      <c r="E334" s="84"/>
      <c r="F334" s="126" t="str">
        <f t="shared" ref="F334:F397" si="19">IF(D334=FALSE,"←ご確認ください",IF(OR(D334=1,D334=2,D334=3),"形式OK",""))</f>
        <v/>
      </c>
      <c r="G334" s="75"/>
      <c r="H334" s="106"/>
      <c r="I334" s="106"/>
      <c r="J334" s="106"/>
      <c r="K334" s="103"/>
      <c r="L334" s="124"/>
      <c r="M334" s="12" t="b">
        <f t="shared" ref="M334:M397" si="20">IF(COUNTA(E334,G334)=0,FALSE,TRUE)</f>
        <v>0</v>
      </c>
    </row>
    <row r="335" spans="2:13" ht="22.5">
      <c r="B335" s="26">
        <v>323</v>
      </c>
      <c r="C335" s="77"/>
      <c r="D335" s="69" t="str">
        <f t="shared" si="18"/>
        <v/>
      </c>
      <c r="E335" s="84"/>
      <c r="F335" s="126" t="str">
        <f t="shared" si="19"/>
        <v/>
      </c>
      <c r="G335" s="75"/>
      <c r="H335" s="106"/>
      <c r="I335" s="106"/>
      <c r="J335" s="106"/>
      <c r="K335" s="103"/>
      <c r="L335" s="124"/>
      <c r="M335" s="12" t="b">
        <f t="shared" si="20"/>
        <v>0</v>
      </c>
    </row>
    <row r="336" spans="2:13" ht="22.5">
      <c r="B336" s="26">
        <v>324</v>
      </c>
      <c r="C336" s="77"/>
      <c r="D336" s="69" t="str">
        <f t="shared" si="18"/>
        <v/>
      </c>
      <c r="E336" s="84"/>
      <c r="F336" s="126" t="str">
        <f t="shared" si="19"/>
        <v/>
      </c>
      <c r="G336" s="75"/>
      <c r="H336" s="106"/>
      <c r="I336" s="106"/>
      <c r="J336" s="106"/>
      <c r="K336" s="103"/>
      <c r="L336" s="124"/>
      <c r="M336" s="12" t="b">
        <f t="shared" si="20"/>
        <v>0</v>
      </c>
    </row>
    <row r="337" spans="2:13" ht="22.5">
      <c r="B337" s="26">
        <v>325</v>
      </c>
      <c r="C337" s="77"/>
      <c r="D337" s="69" t="str">
        <f t="shared" si="18"/>
        <v/>
      </c>
      <c r="E337" s="84"/>
      <c r="F337" s="126" t="str">
        <f t="shared" si="19"/>
        <v/>
      </c>
      <c r="G337" s="75"/>
      <c r="H337" s="106"/>
      <c r="I337" s="106"/>
      <c r="J337" s="106"/>
      <c r="K337" s="103"/>
      <c r="L337" s="124"/>
      <c r="M337" s="12" t="b">
        <f t="shared" si="20"/>
        <v>0</v>
      </c>
    </row>
    <row r="338" spans="2:13" ht="22.5">
      <c r="B338" s="26">
        <v>326</v>
      </c>
      <c r="C338" s="77"/>
      <c r="D338" s="69" t="str">
        <f t="shared" si="18"/>
        <v/>
      </c>
      <c r="E338" s="84"/>
      <c r="F338" s="126" t="str">
        <f t="shared" si="19"/>
        <v/>
      </c>
      <c r="G338" s="75"/>
      <c r="H338" s="106"/>
      <c r="I338" s="106"/>
      <c r="J338" s="106"/>
      <c r="K338" s="103"/>
      <c r="L338" s="124"/>
      <c r="M338" s="12" t="b">
        <f t="shared" si="20"/>
        <v>0</v>
      </c>
    </row>
    <row r="339" spans="2:13" ht="22.5">
      <c r="B339" s="26">
        <v>327</v>
      </c>
      <c r="C339" s="77"/>
      <c r="D339" s="69" t="str">
        <f t="shared" si="18"/>
        <v/>
      </c>
      <c r="E339" s="84"/>
      <c r="F339" s="126" t="str">
        <f t="shared" si="19"/>
        <v/>
      </c>
      <c r="G339" s="75"/>
      <c r="H339" s="106"/>
      <c r="I339" s="106"/>
      <c r="J339" s="106"/>
      <c r="K339" s="103"/>
      <c r="L339" s="124"/>
      <c r="M339" s="12" t="b">
        <f t="shared" si="20"/>
        <v>0</v>
      </c>
    </row>
    <row r="340" spans="2:13" ht="22.5">
      <c r="B340" s="26">
        <v>328</v>
      </c>
      <c r="C340" s="77"/>
      <c r="D340" s="69" t="str">
        <f t="shared" si="18"/>
        <v/>
      </c>
      <c r="E340" s="84"/>
      <c r="F340" s="126" t="str">
        <f t="shared" si="19"/>
        <v/>
      </c>
      <c r="G340" s="75"/>
      <c r="H340" s="106"/>
      <c r="I340" s="106"/>
      <c r="J340" s="106"/>
      <c r="K340" s="103"/>
      <c r="L340" s="124"/>
      <c r="M340" s="12" t="b">
        <f t="shared" si="20"/>
        <v>0</v>
      </c>
    </row>
    <row r="341" spans="2:13" ht="22.5">
      <c r="B341" s="26">
        <v>329</v>
      </c>
      <c r="C341" s="77"/>
      <c r="D341" s="69" t="str">
        <f t="shared" si="18"/>
        <v/>
      </c>
      <c r="E341" s="84"/>
      <c r="F341" s="126" t="str">
        <f t="shared" si="19"/>
        <v/>
      </c>
      <c r="G341" s="75"/>
      <c r="H341" s="106"/>
      <c r="I341" s="106"/>
      <c r="J341" s="106"/>
      <c r="K341" s="103"/>
      <c r="L341" s="124"/>
      <c r="M341" s="12" t="b">
        <f t="shared" si="20"/>
        <v>0</v>
      </c>
    </row>
    <row r="342" spans="2:13" ht="22.5">
      <c r="B342" s="26">
        <v>330</v>
      </c>
      <c r="C342" s="77"/>
      <c r="D342" s="69" t="str">
        <f t="shared" si="18"/>
        <v/>
      </c>
      <c r="E342" s="84"/>
      <c r="F342" s="126" t="str">
        <f t="shared" si="19"/>
        <v/>
      </c>
      <c r="G342" s="75"/>
      <c r="H342" s="106"/>
      <c r="I342" s="106"/>
      <c r="J342" s="106"/>
      <c r="K342" s="103"/>
      <c r="L342" s="124"/>
      <c r="M342" s="12" t="b">
        <f t="shared" si="20"/>
        <v>0</v>
      </c>
    </row>
    <row r="343" spans="2:13" ht="22.5">
      <c r="B343" s="26">
        <v>331</v>
      </c>
      <c r="C343" s="77"/>
      <c r="D343" s="69" t="str">
        <f t="shared" si="18"/>
        <v/>
      </c>
      <c r="E343" s="84"/>
      <c r="F343" s="126" t="str">
        <f t="shared" si="19"/>
        <v/>
      </c>
      <c r="G343" s="75"/>
      <c r="H343" s="106"/>
      <c r="I343" s="106"/>
      <c r="J343" s="106"/>
      <c r="K343" s="103"/>
      <c r="L343" s="124"/>
      <c r="M343" s="12" t="b">
        <f t="shared" si="20"/>
        <v>0</v>
      </c>
    </row>
    <row r="344" spans="2:13" ht="22.5">
      <c r="B344" s="26">
        <v>332</v>
      </c>
      <c r="C344" s="77"/>
      <c r="D344" s="69" t="str">
        <f t="shared" si="18"/>
        <v/>
      </c>
      <c r="E344" s="84"/>
      <c r="F344" s="126" t="str">
        <f t="shared" si="19"/>
        <v/>
      </c>
      <c r="G344" s="75"/>
      <c r="H344" s="106"/>
      <c r="I344" s="106"/>
      <c r="J344" s="106"/>
      <c r="K344" s="103"/>
      <c r="L344" s="124"/>
      <c r="M344" s="12" t="b">
        <f t="shared" si="20"/>
        <v>0</v>
      </c>
    </row>
    <row r="345" spans="2:13" ht="22.5">
      <c r="B345" s="26">
        <v>333</v>
      </c>
      <c r="C345" s="77"/>
      <c r="D345" s="69" t="str">
        <f t="shared" si="18"/>
        <v/>
      </c>
      <c r="E345" s="84"/>
      <c r="F345" s="126" t="str">
        <f t="shared" si="19"/>
        <v/>
      </c>
      <c r="G345" s="75"/>
      <c r="H345" s="106"/>
      <c r="I345" s="106"/>
      <c r="J345" s="106"/>
      <c r="K345" s="103"/>
      <c r="L345" s="124"/>
      <c r="M345" s="12" t="b">
        <f t="shared" si="20"/>
        <v>0</v>
      </c>
    </row>
    <row r="346" spans="2:13" ht="22.5">
      <c r="B346" s="26">
        <v>334</v>
      </c>
      <c r="C346" s="77"/>
      <c r="D346" s="69" t="str">
        <f t="shared" si="18"/>
        <v/>
      </c>
      <c r="E346" s="84"/>
      <c r="F346" s="126" t="str">
        <f t="shared" si="19"/>
        <v/>
      </c>
      <c r="G346" s="75"/>
      <c r="H346" s="106"/>
      <c r="I346" s="106"/>
      <c r="J346" s="106"/>
      <c r="K346" s="103"/>
      <c r="L346" s="124"/>
      <c r="M346" s="12" t="b">
        <f t="shared" si="20"/>
        <v>0</v>
      </c>
    </row>
    <row r="347" spans="2:13" ht="22.5">
      <c r="B347" s="26">
        <v>335</v>
      </c>
      <c r="C347" s="77"/>
      <c r="D347" s="69" t="str">
        <f t="shared" si="18"/>
        <v/>
      </c>
      <c r="E347" s="84"/>
      <c r="F347" s="126" t="str">
        <f t="shared" si="19"/>
        <v/>
      </c>
      <c r="G347" s="75"/>
      <c r="H347" s="106"/>
      <c r="I347" s="106"/>
      <c r="J347" s="106"/>
      <c r="K347" s="103"/>
      <c r="L347" s="124"/>
      <c r="M347" s="12" t="b">
        <f t="shared" si="20"/>
        <v>0</v>
      </c>
    </row>
    <row r="348" spans="2:13" ht="22.5">
      <c r="B348" s="26">
        <v>336</v>
      </c>
      <c r="C348" s="77"/>
      <c r="D348" s="69" t="str">
        <f t="shared" si="18"/>
        <v/>
      </c>
      <c r="E348" s="84"/>
      <c r="F348" s="126" t="str">
        <f t="shared" si="19"/>
        <v/>
      </c>
      <c r="G348" s="75"/>
      <c r="H348" s="106"/>
      <c r="I348" s="106"/>
      <c r="J348" s="106"/>
      <c r="K348" s="103"/>
      <c r="L348" s="124"/>
      <c r="M348" s="12" t="b">
        <f t="shared" si="20"/>
        <v>0</v>
      </c>
    </row>
    <row r="349" spans="2:13" ht="22.5">
      <c r="B349" s="26">
        <v>337</v>
      </c>
      <c r="C349" s="77"/>
      <c r="D349" s="69" t="str">
        <f t="shared" si="18"/>
        <v/>
      </c>
      <c r="E349" s="84"/>
      <c r="F349" s="126" t="str">
        <f t="shared" si="19"/>
        <v/>
      </c>
      <c r="G349" s="75"/>
      <c r="H349" s="106"/>
      <c r="I349" s="106"/>
      <c r="J349" s="106"/>
      <c r="K349" s="103"/>
      <c r="L349" s="124"/>
      <c r="M349" s="12" t="b">
        <f t="shared" si="20"/>
        <v>0</v>
      </c>
    </row>
    <row r="350" spans="2:13" ht="22.5">
      <c r="B350" s="26">
        <v>338</v>
      </c>
      <c r="C350" s="77"/>
      <c r="D350" s="69" t="str">
        <f t="shared" si="18"/>
        <v/>
      </c>
      <c r="E350" s="84"/>
      <c r="F350" s="126" t="str">
        <f t="shared" si="19"/>
        <v/>
      </c>
      <c r="G350" s="75"/>
      <c r="H350" s="106"/>
      <c r="I350" s="106"/>
      <c r="J350" s="106"/>
      <c r="K350" s="103"/>
      <c r="L350" s="124"/>
      <c r="M350" s="12" t="b">
        <f t="shared" si="20"/>
        <v>0</v>
      </c>
    </row>
    <row r="351" spans="2:13" ht="22.5">
      <c r="B351" s="26">
        <v>339</v>
      </c>
      <c r="C351" s="77"/>
      <c r="D351" s="69" t="str">
        <f t="shared" si="18"/>
        <v/>
      </c>
      <c r="E351" s="84"/>
      <c r="F351" s="126" t="str">
        <f t="shared" si="19"/>
        <v/>
      </c>
      <c r="G351" s="75"/>
      <c r="H351" s="106"/>
      <c r="I351" s="106"/>
      <c r="J351" s="106"/>
      <c r="K351" s="103"/>
      <c r="L351" s="124"/>
      <c r="M351" s="12" t="b">
        <f t="shared" si="20"/>
        <v>0</v>
      </c>
    </row>
    <row r="352" spans="2:13" ht="22.5">
      <c r="B352" s="26">
        <v>340</v>
      </c>
      <c r="C352" s="77"/>
      <c r="D352" s="69" t="str">
        <f t="shared" si="18"/>
        <v/>
      </c>
      <c r="E352" s="84"/>
      <c r="F352" s="126" t="str">
        <f t="shared" si="19"/>
        <v/>
      </c>
      <c r="G352" s="75"/>
      <c r="H352" s="106"/>
      <c r="I352" s="106"/>
      <c r="J352" s="106"/>
      <c r="K352" s="103"/>
      <c r="L352" s="124"/>
      <c r="M352" s="12" t="b">
        <f t="shared" si="20"/>
        <v>0</v>
      </c>
    </row>
    <row r="353" spans="2:13" ht="22.5">
      <c r="B353" s="26">
        <v>341</v>
      </c>
      <c r="C353" s="77"/>
      <c r="D353" s="69" t="str">
        <f t="shared" si="18"/>
        <v/>
      </c>
      <c r="E353" s="84"/>
      <c r="F353" s="126" t="str">
        <f t="shared" si="19"/>
        <v/>
      </c>
      <c r="G353" s="75"/>
      <c r="H353" s="106"/>
      <c r="I353" s="106"/>
      <c r="J353" s="106"/>
      <c r="K353" s="103"/>
      <c r="L353" s="124"/>
      <c r="M353" s="12" t="b">
        <f t="shared" si="20"/>
        <v>0</v>
      </c>
    </row>
    <row r="354" spans="2:13" ht="22.5">
      <c r="B354" s="26">
        <v>342</v>
      </c>
      <c r="C354" s="77"/>
      <c r="D354" s="69" t="str">
        <f t="shared" si="18"/>
        <v/>
      </c>
      <c r="E354" s="84"/>
      <c r="F354" s="126" t="str">
        <f t="shared" si="19"/>
        <v/>
      </c>
      <c r="G354" s="75"/>
      <c r="H354" s="106"/>
      <c r="I354" s="106"/>
      <c r="J354" s="106"/>
      <c r="K354" s="103"/>
      <c r="L354" s="124"/>
      <c r="M354" s="12" t="b">
        <f t="shared" si="20"/>
        <v>0</v>
      </c>
    </row>
    <row r="355" spans="2:13" ht="22.5">
      <c r="B355" s="26">
        <v>343</v>
      </c>
      <c r="C355" s="77"/>
      <c r="D355" s="69" t="str">
        <f t="shared" si="18"/>
        <v/>
      </c>
      <c r="E355" s="84"/>
      <c r="F355" s="126" t="str">
        <f t="shared" si="19"/>
        <v/>
      </c>
      <c r="G355" s="75"/>
      <c r="H355" s="106"/>
      <c r="I355" s="106"/>
      <c r="J355" s="106"/>
      <c r="K355" s="103"/>
      <c r="L355" s="124"/>
      <c r="M355" s="12" t="b">
        <f t="shared" si="20"/>
        <v>0</v>
      </c>
    </row>
    <row r="356" spans="2:13" ht="22.5">
      <c r="B356" s="26">
        <v>344</v>
      </c>
      <c r="C356" s="77"/>
      <c r="D356" s="69" t="str">
        <f t="shared" si="18"/>
        <v/>
      </c>
      <c r="E356" s="84"/>
      <c r="F356" s="126" t="str">
        <f t="shared" si="19"/>
        <v/>
      </c>
      <c r="G356" s="75"/>
      <c r="H356" s="106"/>
      <c r="I356" s="106"/>
      <c r="J356" s="106"/>
      <c r="K356" s="103"/>
      <c r="L356" s="124"/>
      <c r="M356" s="12" t="b">
        <f t="shared" si="20"/>
        <v>0</v>
      </c>
    </row>
    <row r="357" spans="2:13" ht="22.5">
      <c r="B357" s="26">
        <v>345</v>
      </c>
      <c r="C357" s="77"/>
      <c r="D357" s="69" t="str">
        <f t="shared" si="18"/>
        <v/>
      </c>
      <c r="E357" s="84"/>
      <c r="F357" s="126" t="str">
        <f t="shared" si="19"/>
        <v/>
      </c>
      <c r="G357" s="75"/>
      <c r="H357" s="106"/>
      <c r="I357" s="106"/>
      <c r="J357" s="106"/>
      <c r="K357" s="103"/>
      <c r="L357" s="124"/>
      <c r="M357" s="12" t="b">
        <f t="shared" si="20"/>
        <v>0</v>
      </c>
    </row>
    <row r="358" spans="2:13" ht="22.5">
      <c r="B358" s="26">
        <v>346</v>
      </c>
      <c r="C358" s="77"/>
      <c r="D358" s="69" t="str">
        <f t="shared" si="18"/>
        <v/>
      </c>
      <c r="E358" s="84"/>
      <c r="F358" s="126" t="str">
        <f t="shared" si="19"/>
        <v/>
      </c>
      <c r="G358" s="75"/>
      <c r="H358" s="106"/>
      <c r="I358" s="106"/>
      <c r="J358" s="106"/>
      <c r="K358" s="103"/>
      <c r="L358" s="124"/>
      <c r="M358" s="12" t="b">
        <f t="shared" si="20"/>
        <v>0</v>
      </c>
    </row>
    <row r="359" spans="2:13" ht="22.5">
      <c r="B359" s="26">
        <v>347</v>
      </c>
      <c r="C359" s="77"/>
      <c r="D359" s="69" t="str">
        <f t="shared" si="18"/>
        <v/>
      </c>
      <c r="E359" s="84"/>
      <c r="F359" s="126" t="str">
        <f t="shared" si="19"/>
        <v/>
      </c>
      <c r="G359" s="75"/>
      <c r="H359" s="106"/>
      <c r="I359" s="106"/>
      <c r="J359" s="106"/>
      <c r="K359" s="103"/>
      <c r="L359" s="124"/>
      <c r="M359" s="12" t="b">
        <f t="shared" si="20"/>
        <v>0</v>
      </c>
    </row>
    <row r="360" spans="2:13" ht="22.5">
      <c r="B360" s="26">
        <v>348</v>
      </c>
      <c r="C360" s="77"/>
      <c r="D360" s="69" t="str">
        <f t="shared" si="18"/>
        <v/>
      </c>
      <c r="E360" s="84"/>
      <c r="F360" s="126" t="str">
        <f t="shared" si="19"/>
        <v/>
      </c>
      <c r="G360" s="75"/>
      <c r="H360" s="106"/>
      <c r="I360" s="106"/>
      <c r="J360" s="106"/>
      <c r="K360" s="103"/>
      <c r="L360" s="124"/>
      <c r="M360" s="12" t="b">
        <f t="shared" si="20"/>
        <v>0</v>
      </c>
    </row>
    <row r="361" spans="2:13" ht="22.5">
      <c r="B361" s="26">
        <v>349</v>
      </c>
      <c r="C361" s="77"/>
      <c r="D361" s="69" t="str">
        <f t="shared" si="18"/>
        <v/>
      </c>
      <c r="E361" s="84"/>
      <c r="F361" s="126" t="str">
        <f t="shared" si="19"/>
        <v/>
      </c>
      <c r="G361" s="75"/>
      <c r="H361" s="106"/>
      <c r="I361" s="106"/>
      <c r="J361" s="106"/>
      <c r="K361" s="103"/>
      <c r="L361" s="124"/>
      <c r="M361" s="12" t="b">
        <f t="shared" si="20"/>
        <v>0</v>
      </c>
    </row>
    <row r="362" spans="2:13" ht="22.5">
      <c r="B362" s="26">
        <v>350</v>
      </c>
      <c r="C362" s="77"/>
      <c r="D362" s="69" t="str">
        <f t="shared" si="18"/>
        <v/>
      </c>
      <c r="E362" s="84"/>
      <c r="F362" s="126" t="str">
        <f t="shared" si="19"/>
        <v/>
      </c>
      <c r="G362" s="75"/>
      <c r="H362" s="106"/>
      <c r="I362" s="106"/>
      <c r="J362" s="106"/>
      <c r="K362" s="103"/>
      <c r="L362" s="124"/>
      <c r="M362" s="12" t="b">
        <f t="shared" si="20"/>
        <v>0</v>
      </c>
    </row>
    <row r="363" spans="2:13" ht="22.5">
      <c r="B363" s="26">
        <v>351</v>
      </c>
      <c r="C363" s="77"/>
      <c r="D363" s="69" t="str">
        <f t="shared" si="18"/>
        <v/>
      </c>
      <c r="E363" s="84"/>
      <c r="F363" s="126" t="str">
        <f t="shared" si="19"/>
        <v/>
      </c>
      <c r="G363" s="75"/>
      <c r="H363" s="106"/>
      <c r="I363" s="106"/>
      <c r="J363" s="106"/>
      <c r="K363" s="103"/>
      <c r="L363" s="124"/>
      <c r="M363" s="12" t="b">
        <f t="shared" si="20"/>
        <v>0</v>
      </c>
    </row>
    <row r="364" spans="2:13" ht="22.5">
      <c r="B364" s="26">
        <v>352</v>
      </c>
      <c r="C364" s="77"/>
      <c r="D364" s="69" t="str">
        <f t="shared" si="18"/>
        <v/>
      </c>
      <c r="E364" s="84"/>
      <c r="F364" s="126" t="str">
        <f t="shared" si="19"/>
        <v/>
      </c>
      <c r="G364" s="75"/>
      <c r="H364" s="106"/>
      <c r="I364" s="106"/>
      <c r="J364" s="106"/>
      <c r="K364" s="103"/>
      <c r="L364" s="124"/>
      <c r="M364" s="12" t="b">
        <f t="shared" si="20"/>
        <v>0</v>
      </c>
    </row>
    <row r="365" spans="2:13" ht="22.5">
      <c r="B365" s="26">
        <v>353</v>
      </c>
      <c r="C365" s="77"/>
      <c r="D365" s="69" t="str">
        <f t="shared" si="18"/>
        <v/>
      </c>
      <c r="E365" s="84"/>
      <c r="F365" s="126" t="str">
        <f t="shared" si="19"/>
        <v/>
      </c>
      <c r="G365" s="75"/>
      <c r="H365" s="106"/>
      <c r="I365" s="106"/>
      <c r="J365" s="106"/>
      <c r="K365" s="103"/>
      <c r="L365" s="124"/>
      <c r="M365" s="12" t="b">
        <f t="shared" si="20"/>
        <v>0</v>
      </c>
    </row>
    <row r="366" spans="2:13" ht="22.5">
      <c r="B366" s="26">
        <v>354</v>
      </c>
      <c r="C366" s="77"/>
      <c r="D366" s="69" t="str">
        <f t="shared" si="18"/>
        <v/>
      </c>
      <c r="E366" s="84"/>
      <c r="F366" s="126" t="str">
        <f t="shared" si="19"/>
        <v/>
      </c>
      <c r="G366" s="75"/>
      <c r="H366" s="106"/>
      <c r="I366" s="106"/>
      <c r="J366" s="106"/>
      <c r="K366" s="103"/>
      <c r="L366" s="124"/>
      <c r="M366" s="12" t="b">
        <f t="shared" si="20"/>
        <v>0</v>
      </c>
    </row>
    <row r="367" spans="2:13" ht="22.5">
      <c r="B367" s="26">
        <v>355</v>
      </c>
      <c r="C367" s="77"/>
      <c r="D367" s="69" t="str">
        <f t="shared" si="18"/>
        <v/>
      </c>
      <c r="E367" s="84"/>
      <c r="F367" s="126" t="str">
        <f t="shared" si="19"/>
        <v/>
      </c>
      <c r="G367" s="75"/>
      <c r="H367" s="106"/>
      <c r="I367" s="106"/>
      <c r="J367" s="106"/>
      <c r="K367" s="103"/>
      <c r="L367" s="124"/>
      <c r="M367" s="12" t="b">
        <f t="shared" si="20"/>
        <v>0</v>
      </c>
    </row>
    <row r="368" spans="2:13" ht="22.5">
      <c r="B368" s="26">
        <v>356</v>
      </c>
      <c r="C368" s="77"/>
      <c r="D368" s="69" t="str">
        <f t="shared" si="18"/>
        <v/>
      </c>
      <c r="E368" s="84"/>
      <c r="F368" s="126" t="str">
        <f t="shared" si="19"/>
        <v/>
      </c>
      <c r="G368" s="75"/>
      <c r="H368" s="106"/>
      <c r="I368" s="106"/>
      <c r="J368" s="106"/>
      <c r="K368" s="103"/>
      <c r="L368" s="124"/>
      <c r="M368" s="12" t="b">
        <f t="shared" si="20"/>
        <v>0</v>
      </c>
    </row>
    <row r="369" spans="2:13" ht="22.5">
      <c r="B369" s="26">
        <v>357</v>
      </c>
      <c r="C369" s="77"/>
      <c r="D369" s="69" t="str">
        <f t="shared" si="18"/>
        <v/>
      </c>
      <c r="E369" s="84"/>
      <c r="F369" s="126" t="str">
        <f t="shared" si="19"/>
        <v/>
      </c>
      <c r="G369" s="75"/>
      <c r="H369" s="106"/>
      <c r="I369" s="106"/>
      <c r="J369" s="106"/>
      <c r="K369" s="103"/>
      <c r="L369" s="124"/>
      <c r="M369" s="12" t="b">
        <f t="shared" si="20"/>
        <v>0</v>
      </c>
    </row>
    <row r="370" spans="2:13" ht="22.5">
      <c r="B370" s="26">
        <v>358</v>
      </c>
      <c r="C370" s="77"/>
      <c r="D370" s="69" t="str">
        <f t="shared" si="18"/>
        <v/>
      </c>
      <c r="E370" s="84"/>
      <c r="F370" s="126" t="str">
        <f t="shared" si="19"/>
        <v/>
      </c>
      <c r="G370" s="75"/>
      <c r="H370" s="106"/>
      <c r="I370" s="106"/>
      <c r="J370" s="106"/>
      <c r="K370" s="103"/>
      <c r="L370" s="124"/>
      <c r="M370" s="12" t="b">
        <f t="shared" si="20"/>
        <v>0</v>
      </c>
    </row>
    <row r="371" spans="2:13" ht="22.5">
      <c r="B371" s="26">
        <v>359</v>
      </c>
      <c r="C371" s="77"/>
      <c r="D371" s="69" t="str">
        <f t="shared" si="18"/>
        <v/>
      </c>
      <c r="E371" s="84"/>
      <c r="F371" s="126" t="str">
        <f t="shared" si="19"/>
        <v/>
      </c>
      <c r="G371" s="75"/>
      <c r="H371" s="106"/>
      <c r="I371" s="106"/>
      <c r="J371" s="106"/>
      <c r="K371" s="103"/>
      <c r="L371" s="124"/>
      <c r="M371" s="12" t="b">
        <f t="shared" si="20"/>
        <v>0</v>
      </c>
    </row>
    <row r="372" spans="2:13" ht="22.5">
      <c r="B372" s="26">
        <v>360</v>
      </c>
      <c r="C372" s="77"/>
      <c r="D372" s="69" t="str">
        <f t="shared" si="18"/>
        <v/>
      </c>
      <c r="E372" s="84"/>
      <c r="F372" s="126" t="str">
        <f t="shared" si="19"/>
        <v/>
      </c>
      <c r="G372" s="75"/>
      <c r="H372" s="106"/>
      <c r="I372" s="106"/>
      <c r="J372" s="106"/>
      <c r="K372" s="103"/>
      <c r="L372" s="124"/>
      <c r="M372" s="12" t="b">
        <f t="shared" si="20"/>
        <v>0</v>
      </c>
    </row>
    <row r="373" spans="2:13" ht="22.5">
      <c r="B373" s="26">
        <v>361</v>
      </c>
      <c r="C373" s="77"/>
      <c r="D373" s="69" t="str">
        <f t="shared" si="18"/>
        <v/>
      </c>
      <c r="E373" s="84"/>
      <c r="F373" s="126" t="str">
        <f t="shared" si="19"/>
        <v/>
      </c>
      <c r="G373" s="75"/>
      <c r="H373" s="106"/>
      <c r="I373" s="106"/>
      <c r="J373" s="106"/>
      <c r="K373" s="103"/>
      <c r="L373" s="124"/>
      <c r="M373" s="12" t="b">
        <f t="shared" si="20"/>
        <v>0</v>
      </c>
    </row>
    <row r="374" spans="2:13" ht="22.5">
      <c r="B374" s="26">
        <v>362</v>
      </c>
      <c r="C374" s="77"/>
      <c r="D374" s="69" t="str">
        <f t="shared" si="18"/>
        <v/>
      </c>
      <c r="E374" s="84"/>
      <c r="F374" s="126" t="str">
        <f t="shared" si="19"/>
        <v/>
      </c>
      <c r="G374" s="75"/>
      <c r="H374" s="106"/>
      <c r="I374" s="106"/>
      <c r="J374" s="106"/>
      <c r="K374" s="103"/>
      <c r="L374" s="124"/>
      <c r="M374" s="12" t="b">
        <f t="shared" si="20"/>
        <v>0</v>
      </c>
    </row>
    <row r="375" spans="2:13" ht="22.5">
      <c r="B375" s="26">
        <v>363</v>
      </c>
      <c r="C375" s="77"/>
      <c r="D375" s="69" t="str">
        <f t="shared" si="18"/>
        <v/>
      </c>
      <c r="E375" s="84"/>
      <c r="F375" s="126" t="str">
        <f t="shared" si="19"/>
        <v/>
      </c>
      <c r="G375" s="75"/>
      <c r="H375" s="106"/>
      <c r="I375" s="106"/>
      <c r="J375" s="106"/>
      <c r="K375" s="103"/>
      <c r="L375" s="124"/>
      <c r="M375" s="12" t="b">
        <f t="shared" si="20"/>
        <v>0</v>
      </c>
    </row>
    <row r="376" spans="2:13" ht="22.5">
      <c r="B376" s="26">
        <v>364</v>
      </c>
      <c r="C376" s="77"/>
      <c r="D376" s="69" t="str">
        <f t="shared" si="18"/>
        <v/>
      </c>
      <c r="E376" s="84"/>
      <c r="F376" s="126" t="str">
        <f t="shared" si="19"/>
        <v/>
      </c>
      <c r="G376" s="75"/>
      <c r="H376" s="106"/>
      <c r="I376" s="106"/>
      <c r="J376" s="106"/>
      <c r="K376" s="103"/>
      <c r="L376" s="124"/>
      <c r="M376" s="12" t="b">
        <f t="shared" si="20"/>
        <v>0</v>
      </c>
    </row>
    <row r="377" spans="2:13" ht="22.5">
      <c r="B377" s="26">
        <v>365</v>
      </c>
      <c r="C377" s="77"/>
      <c r="D377" s="69" t="str">
        <f t="shared" si="18"/>
        <v/>
      </c>
      <c r="E377" s="84"/>
      <c r="F377" s="126" t="str">
        <f t="shared" si="19"/>
        <v/>
      </c>
      <c r="G377" s="75"/>
      <c r="H377" s="106"/>
      <c r="I377" s="106"/>
      <c r="J377" s="106"/>
      <c r="K377" s="103"/>
      <c r="L377" s="124"/>
      <c r="M377" s="12" t="b">
        <f t="shared" si="20"/>
        <v>0</v>
      </c>
    </row>
    <row r="378" spans="2:13" ht="22.5">
      <c r="B378" s="26">
        <v>366</v>
      </c>
      <c r="C378" s="77"/>
      <c r="D378" s="69" t="str">
        <f t="shared" si="18"/>
        <v/>
      </c>
      <c r="E378" s="84"/>
      <c r="F378" s="126" t="str">
        <f t="shared" si="19"/>
        <v/>
      </c>
      <c r="G378" s="75"/>
      <c r="H378" s="106"/>
      <c r="I378" s="106"/>
      <c r="J378" s="106"/>
      <c r="K378" s="103"/>
      <c r="L378" s="124"/>
      <c r="M378" s="12" t="b">
        <f t="shared" si="20"/>
        <v>0</v>
      </c>
    </row>
    <row r="379" spans="2:13" ht="22.5">
      <c r="B379" s="26">
        <v>367</v>
      </c>
      <c r="C379" s="77"/>
      <c r="D379" s="69" t="str">
        <f t="shared" si="18"/>
        <v/>
      </c>
      <c r="E379" s="84"/>
      <c r="F379" s="126" t="str">
        <f t="shared" si="19"/>
        <v/>
      </c>
      <c r="G379" s="75"/>
      <c r="H379" s="106"/>
      <c r="I379" s="106"/>
      <c r="J379" s="106"/>
      <c r="K379" s="103"/>
      <c r="L379" s="124"/>
      <c r="M379" s="12" t="b">
        <f t="shared" si="20"/>
        <v>0</v>
      </c>
    </row>
    <row r="380" spans="2:13" ht="22.5">
      <c r="B380" s="26">
        <v>368</v>
      </c>
      <c r="C380" s="77"/>
      <c r="D380" s="69" t="str">
        <f t="shared" si="18"/>
        <v/>
      </c>
      <c r="E380" s="84"/>
      <c r="F380" s="126" t="str">
        <f t="shared" si="19"/>
        <v/>
      </c>
      <c r="G380" s="75"/>
      <c r="H380" s="106"/>
      <c r="I380" s="106"/>
      <c r="J380" s="106"/>
      <c r="K380" s="103"/>
      <c r="L380" s="124"/>
      <c r="M380" s="12" t="b">
        <f t="shared" si="20"/>
        <v>0</v>
      </c>
    </row>
    <row r="381" spans="2:13" ht="22.5">
      <c r="B381" s="26">
        <v>369</v>
      </c>
      <c r="C381" s="77"/>
      <c r="D381" s="69" t="str">
        <f t="shared" si="18"/>
        <v/>
      </c>
      <c r="E381" s="84"/>
      <c r="F381" s="126" t="str">
        <f t="shared" si="19"/>
        <v/>
      </c>
      <c r="G381" s="75"/>
      <c r="H381" s="106"/>
      <c r="I381" s="106"/>
      <c r="J381" s="106"/>
      <c r="K381" s="103"/>
      <c r="L381" s="124"/>
      <c r="M381" s="12" t="b">
        <f t="shared" si="20"/>
        <v>0</v>
      </c>
    </row>
    <row r="382" spans="2:13" ht="22.5">
      <c r="B382" s="26">
        <v>370</v>
      </c>
      <c r="C382" s="77"/>
      <c r="D382" s="69" t="str">
        <f t="shared" si="18"/>
        <v/>
      </c>
      <c r="E382" s="84"/>
      <c r="F382" s="126" t="str">
        <f t="shared" si="19"/>
        <v/>
      </c>
      <c r="G382" s="75"/>
      <c r="H382" s="106"/>
      <c r="I382" s="106"/>
      <c r="J382" s="106"/>
      <c r="K382" s="103"/>
      <c r="L382" s="124"/>
      <c r="M382" s="12" t="b">
        <f t="shared" si="20"/>
        <v>0</v>
      </c>
    </row>
    <row r="383" spans="2:13" ht="22.5">
      <c r="B383" s="26">
        <v>371</v>
      </c>
      <c r="C383" s="77"/>
      <c r="D383" s="69" t="str">
        <f t="shared" si="18"/>
        <v/>
      </c>
      <c r="E383" s="84"/>
      <c r="F383" s="126" t="str">
        <f t="shared" si="19"/>
        <v/>
      </c>
      <c r="G383" s="75"/>
      <c r="H383" s="106"/>
      <c r="I383" s="106"/>
      <c r="J383" s="106"/>
      <c r="K383" s="103"/>
      <c r="L383" s="124"/>
      <c r="M383" s="12" t="b">
        <f t="shared" si="20"/>
        <v>0</v>
      </c>
    </row>
    <row r="384" spans="2:13" ht="22.5">
      <c r="B384" s="26">
        <v>372</v>
      </c>
      <c r="C384" s="77"/>
      <c r="D384" s="69" t="str">
        <f t="shared" si="18"/>
        <v/>
      </c>
      <c r="E384" s="84"/>
      <c r="F384" s="126" t="str">
        <f t="shared" si="19"/>
        <v/>
      </c>
      <c r="G384" s="75"/>
      <c r="H384" s="106"/>
      <c r="I384" s="106"/>
      <c r="J384" s="106"/>
      <c r="K384" s="103"/>
      <c r="L384" s="124"/>
      <c r="M384" s="12" t="b">
        <f t="shared" si="20"/>
        <v>0</v>
      </c>
    </row>
    <row r="385" spans="2:13" ht="22.5">
      <c r="B385" s="26">
        <v>373</v>
      </c>
      <c r="C385" s="77"/>
      <c r="D385" s="69" t="str">
        <f t="shared" si="18"/>
        <v/>
      </c>
      <c r="E385" s="84"/>
      <c r="F385" s="126" t="str">
        <f t="shared" si="19"/>
        <v/>
      </c>
      <c r="G385" s="75"/>
      <c r="H385" s="106"/>
      <c r="I385" s="106"/>
      <c r="J385" s="106"/>
      <c r="K385" s="103"/>
      <c r="L385" s="124"/>
      <c r="M385" s="12" t="b">
        <f t="shared" si="20"/>
        <v>0</v>
      </c>
    </row>
    <row r="386" spans="2:13" ht="22.5">
      <c r="B386" s="26">
        <v>374</v>
      </c>
      <c r="C386" s="77"/>
      <c r="D386" s="69" t="str">
        <f t="shared" si="18"/>
        <v/>
      </c>
      <c r="E386" s="84"/>
      <c r="F386" s="126" t="str">
        <f t="shared" si="19"/>
        <v/>
      </c>
      <c r="G386" s="75"/>
      <c r="H386" s="106"/>
      <c r="I386" s="106"/>
      <c r="J386" s="106"/>
      <c r="K386" s="103"/>
      <c r="L386" s="124"/>
      <c r="M386" s="12" t="b">
        <f t="shared" si="20"/>
        <v>0</v>
      </c>
    </row>
    <row r="387" spans="2:13" ht="22.5">
      <c r="B387" s="26">
        <v>375</v>
      </c>
      <c r="C387" s="77"/>
      <c r="D387" s="69" t="str">
        <f t="shared" si="18"/>
        <v/>
      </c>
      <c r="E387" s="84"/>
      <c r="F387" s="126" t="str">
        <f t="shared" si="19"/>
        <v/>
      </c>
      <c r="G387" s="75"/>
      <c r="H387" s="106"/>
      <c r="I387" s="106"/>
      <c r="J387" s="106"/>
      <c r="K387" s="103"/>
      <c r="L387" s="124"/>
      <c r="M387" s="12" t="b">
        <f t="shared" si="20"/>
        <v>0</v>
      </c>
    </row>
    <row r="388" spans="2:13" ht="22.5">
      <c r="B388" s="26">
        <v>376</v>
      </c>
      <c r="C388" s="77"/>
      <c r="D388" s="69" t="str">
        <f t="shared" si="18"/>
        <v/>
      </c>
      <c r="E388" s="84"/>
      <c r="F388" s="126" t="str">
        <f t="shared" si="19"/>
        <v/>
      </c>
      <c r="G388" s="75"/>
      <c r="H388" s="106"/>
      <c r="I388" s="106"/>
      <c r="J388" s="106"/>
      <c r="K388" s="103"/>
      <c r="L388" s="124"/>
      <c r="M388" s="12" t="b">
        <f t="shared" si="20"/>
        <v>0</v>
      </c>
    </row>
    <row r="389" spans="2:13" ht="22.5">
      <c r="B389" s="26">
        <v>377</v>
      </c>
      <c r="C389" s="77"/>
      <c r="D389" s="69" t="str">
        <f t="shared" si="18"/>
        <v/>
      </c>
      <c r="E389" s="84"/>
      <c r="F389" s="126" t="str">
        <f t="shared" si="19"/>
        <v/>
      </c>
      <c r="G389" s="75"/>
      <c r="H389" s="106"/>
      <c r="I389" s="106"/>
      <c r="J389" s="106"/>
      <c r="K389" s="103"/>
      <c r="L389" s="124"/>
      <c r="M389" s="12" t="b">
        <f t="shared" si="20"/>
        <v>0</v>
      </c>
    </row>
    <row r="390" spans="2:13" ht="22.5">
      <c r="B390" s="26">
        <v>378</v>
      </c>
      <c r="C390" s="77"/>
      <c r="D390" s="69" t="str">
        <f t="shared" si="18"/>
        <v/>
      </c>
      <c r="E390" s="84"/>
      <c r="F390" s="126" t="str">
        <f t="shared" si="19"/>
        <v/>
      </c>
      <c r="G390" s="75"/>
      <c r="H390" s="106"/>
      <c r="I390" s="106"/>
      <c r="J390" s="106"/>
      <c r="K390" s="103"/>
      <c r="L390" s="124"/>
      <c r="M390" s="12" t="b">
        <f t="shared" si="20"/>
        <v>0</v>
      </c>
    </row>
    <row r="391" spans="2:13" ht="22.5">
      <c r="B391" s="26">
        <v>379</v>
      </c>
      <c r="C391" s="77"/>
      <c r="D391" s="69" t="str">
        <f t="shared" si="18"/>
        <v/>
      </c>
      <c r="E391" s="84"/>
      <c r="F391" s="126" t="str">
        <f t="shared" si="19"/>
        <v/>
      </c>
      <c r="G391" s="75"/>
      <c r="H391" s="106"/>
      <c r="I391" s="106"/>
      <c r="J391" s="106"/>
      <c r="K391" s="103"/>
      <c r="L391" s="124"/>
      <c r="M391" s="12" t="b">
        <f t="shared" si="20"/>
        <v>0</v>
      </c>
    </row>
    <row r="392" spans="2:13" ht="22.5">
      <c r="B392" s="26">
        <v>380</v>
      </c>
      <c r="C392" s="77"/>
      <c r="D392" s="69" t="str">
        <f t="shared" si="18"/>
        <v/>
      </c>
      <c r="E392" s="84"/>
      <c r="F392" s="126" t="str">
        <f t="shared" si="19"/>
        <v/>
      </c>
      <c r="G392" s="75"/>
      <c r="H392" s="106"/>
      <c r="I392" s="106"/>
      <c r="J392" s="106"/>
      <c r="K392" s="103"/>
      <c r="L392" s="124"/>
      <c r="M392" s="12" t="b">
        <f t="shared" si="20"/>
        <v>0</v>
      </c>
    </row>
    <row r="393" spans="2:13" ht="22.5">
      <c r="B393" s="26">
        <v>381</v>
      </c>
      <c r="C393" s="77"/>
      <c r="D393" s="69" t="str">
        <f t="shared" si="18"/>
        <v/>
      </c>
      <c r="E393" s="84"/>
      <c r="F393" s="126" t="str">
        <f t="shared" si="19"/>
        <v/>
      </c>
      <c r="G393" s="75"/>
      <c r="H393" s="106"/>
      <c r="I393" s="106"/>
      <c r="J393" s="106"/>
      <c r="K393" s="103"/>
      <c r="L393" s="124"/>
      <c r="M393" s="12" t="b">
        <f t="shared" si="20"/>
        <v>0</v>
      </c>
    </row>
    <row r="394" spans="2:13" ht="22.5">
      <c r="B394" s="26">
        <v>382</v>
      </c>
      <c r="C394" s="77"/>
      <c r="D394" s="69" t="str">
        <f t="shared" si="18"/>
        <v/>
      </c>
      <c r="E394" s="84"/>
      <c r="F394" s="126" t="str">
        <f t="shared" si="19"/>
        <v/>
      </c>
      <c r="G394" s="75"/>
      <c r="H394" s="106"/>
      <c r="I394" s="106"/>
      <c r="J394" s="106"/>
      <c r="K394" s="103"/>
      <c r="L394" s="124"/>
      <c r="M394" s="12" t="b">
        <f t="shared" si="20"/>
        <v>0</v>
      </c>
    </row>
    <row r="395" spans="2:13" ht="22.5">
      <c r="B395" s="26">
        <v>383</v>
      </c>
      <c r="C395" s="77"/>
      <c r="D395" s="69" t="str">
        <f t="shared" si="18"/>
        <v/>
      </c>
      <c r="E395" s="84"/>
      <c r="F395" s="126" t="str">
        <f t="shared" si="19"/>
        <v/>
      </c>
      <c r="G395" s="75"/>
      <c r="H395" s="106"/>
      <c r="I395" s="106"/>
      <c r="J395" s="106"/>
      <c r="K395" s="103"/>
      <c r="L395" s="124"/>
      <c r="M395" s="12" t="b">
        <f t="shared" si="20"/>
        <v>0</v>
      </c>
    </row>
    <row r="396" spans="2:13" ht="22.5">
      <c r="B396" s="26">
        <v>384</v>
      </c>
      <c r="C396" s="77"/>
      <c r="D396" s="69" t="str">
        <f t="shared" si="18"/>
        <v/>
      </c>
      <c r="E396" s="84"/>
      <c r="F396" s="126" t="str">
        <f t="shared" si="19"/>
        <v/>
      </c>
      <c r="G396" s="75"/>
      <c r="H396" s="106"/>
      <c r="I396" s="106"/>
      <c r="J396" s="106"/>
      <c r="K396" s="103"/>
      <c r="L396" s="124"/>
      <c r="M396" s="12" t="b">
        <f t="shared" si="20"/>
        <v>0</v>
      </c>
    </row>
    <row r="397" spans="2:13" ht="22.5">
      <c r="B397" s="26">
        <v>385</v>
      </c>
      <c r="C397" s="77"/>
      <c r="D397" s="69" t="str">
        <f t="shared" si="18"/>
        <v/>
      </c>
      <c r="E397" s="84"/>
      <c r="F397" s="126" t="str">
        <f t="shared" si="19"/>
        <v/>
      </c>
      <c r="G397" s="75"/>
      <c r="H397" s="106"/>
      <c r="I397" s="106"/>
      <c r="J397" s="106"/>
      <c r="K397" s="103"/>
      <c r="L397" s="124"/>
      <c r="M397" s="12" t="b">
        <f t="shared" si="20"/>
        <v>0</v>
      </c>
    </row>
    <row r="398" spans="2:13" ht="22.5">
      <c r="B398" s="26">
        <v>386</v>
      </c>
      <c r="C398" s="77"/>
      <c r="D398" s="69" t="str">
        <f t="shared" ref="D398:D461" si="21">IF(LEN(E398)=0,"",IF((AND(ISNUMBER(VALUE(E398)),LEN(E398)=12)),3,IF(AND(ISNUMBER(VALUE(E398)),(LEN(E398)=10)),1,IF(AND(OR((LEFT(E398)="R"),(LEFT(E398)="R")),(ISNUMBER(VALUE(RIGHT(E398,9)))),(LEN(E398)=10)),2,FALSE))))</f>
        <v/>
      </c>
      <c r="E398" s="84"/>
      <c r="F398" s="126" t="str">
        <f t="shared" ref="F398:F461" si="22">IF(D398=FALSE,"←ご確認ください",IF(OR(D398=1,D398=2,D398=3),"形式OK",""))</f>
        <v/>
      </c>
      <c r="G398" s="75"/>
      <c r="H398" s="106"/>
      <c r="I398" s="106"/>
      <c r="J398" s="106"/>
      <c r="K398" s="103"/>
      <c r="L398" s="124"/>
      <c r="M398" s="12" t="b">
        <f t="shared" ref="M398:M461" si="23">IF(COUNTA(E398,G398)=0,FALSE,TRUE)</f>
        <v>0</v>
      </c>
    </row>
    <row r="399" spans="2:13" ht="22.5">
      <c r="B399" s="26">
        <v>387</v>
      </c>
      <c r="C399" s="77"/>
      <c r="D399" s="69" t="str">
        <f t="shared" si="21"/>
        <v/>
      </c>
      <c r="E399" s="84"/>
      <c r="F399" s="126" t="str">
        <f t="shared" si="22"/>
        <v/>
      </c>
      <c r="G399" s="75"/>
      <c r="H399" s="106"/>
      <c r="I399" s="106"/>
      <c r="J399" s="106"/>
      <c r="K399" s="103"/>
      <c r="L399" s="124"/>
      <c r="M399" s="12" t="b">
        <f t="shared" si="23"/>
        <v>0</v>
      </c>
    </row>
    <row r="400" spans="2:13" ht="22.5">
      <c r="B400" s="26">
        <v>388</v>
      </c>
      <c r="C400" s="77"/>
      <c r="D400" s="69" t="str">
        <f t="shared" si="21"/>
        <v/>
      </c>
      <c r="E400" s="84"/>
      <c r="F400" s="126" t="str">
        <f t="shared" si="22"/>
        <v/>
      </c>
      <c r="G400" s="75"/>
      <c r="H400" s="106"/>
      <c r="I400" s="106"/>
      <c r="J400" s="106"/>
      <c r="K400" s="103"/>
      <c r="L400" s="124"/>
      <c r="M400" s="12" t="b">
        <f t="shared" si="23"/>
        <v>0</v>
      </c>
    </row>
    <row r="401" spans="2:13" ht="22.5">
      <c r="B401" s="26">
        <v>389</v>
      </c>
      <c r="C401" s="77"/>
      <c r="D401" s="69" t="str">
        <f t="shared" si="21"/>
        <v/>
      </c>
      <c r="E401" s="84"/>
      <c r="F401" s="126" t="str">
        <f t="shared" si="22"/>
        <v/>
      </c>
      <c r="G401" s="75"/>
      <c r="H401" s="106"/>
      <c r="I401" s="106"/>
      <c r="J401" s="106"/>
      <c r="K401" s="103"/>
      <c r="L401" s="124"/>
      <c r="M401" s="12" t="b">
        <f t="shared" si="23"/>
        <v>0</v>
      </c>
    </row>
    <row r="402" spans="2:13" ht="22.5">
      <c r="B402" s="26">
        <v>390</v>
      </c>
      <c r="C402" s="77"/>
      <c r="D402" s="69" t="str">
        <f t="shared" si="21"/>
        <v/>
      </c>
      <c r="E402" s="84"/>
      <c r="F402" s="126" t="str">
        <f t="shared" si="22"/>
        <v/>
      </c>
      <c r="G402" s="75"/>
      <c r="H402" s="106"/>
      <c r="I402" s="106"/>
      <c r="J402" s="106"/>
      <c r="K402" s="103"/>
      <c r="L402" s="124"/>
      <c r="M402" s="12" t="b">
        <f t="shared" si="23"/>
        <v>0</v>
      </c>
    </row>
    <row r="403" spans="2:13" ht="22.5">
      <c r="B403" s="26">
        <v>391</v>
      </c>
      <c r="C403" s="77"/>
      <c r="D403" s="69" t="str">
        <f t="shared" si="21"/>
        <v/>
      </c>
      <c r="E403" s="84"/>
      <c r="F403" s="126" t="str">
        <f t="shared" si="22"/>
        <v/>
      </c>
      <c r="G403" s="75"/>
      <c r="H403" s="106"/>
      <c r="I403" s="106"/>
      <c r="J403" s="106"/>
      <c r="K403" s="103"/>
      <c r="L403" s="124"/>
      <c r="M403" s="12" t="b">
        <f t="shared" si="23"/>
        <v>0</v>
      </c>
    </row>
    <row r="404" spans="2:13" ht="22.5">
      <c r="B404" s="26">
        <v>392</v>
      </c>
      <c r="C404" s="77"/>
      <c r="D404" s="69" t="str">
        <f t="shared" si="21"/>
        <v/>
      </c>
      <c r="E404" s="84"/>
      <c r="F404" s="126" t="str">
        <f t="shared" si="22"/>
        <v/>
      </c>
      <c r="G404" s="75"/>
      <c r="H404" s="106"/>
      <c r="I404" s="106"/>
      <c r="J404" s="106"/>
      <c r="K404" s="103"/>
      <c r="L404" s="124"/>
      <c r="M404" s="12" t="b">
        <f t="shared" si="23"/>
        <v>0</v>
      </c>
    </row>
    <row r="405" spans="2:13" ht="22.5">
      <c r="B405" s="26">
        <v>393</v>
      </c>
      <c r="C405" s="77"/>
      <c r="D405" s="69" t="str">
        <f t="shared" si="21"/>
        <v/>
      </c>
      <c r="E405" s="84"/>
      <c r="F405" s="126" t="str">
        <f t="shared" si="22"/>
        <v/>
      </c>
      <c r="G405" s="75"/>
      <c r="H405" s="106"/>
      <c r="I405" s="106"/>
      <c r="J405" s="106"/>
      <c r="K405" s="103"/>
      <c r="L405" s="124"/>
      <c r="M405" s="12" t="b">
        <f t="shared" si="23"/>
        <v>0</v>
      </c>
    </row>
    <row r="406" spans="2:13" ht="22.5">
      <c r="B406" s="26">
        <v>394</v>
      </c>
      <c r="C406" s="77"/>
      <c r="D406" s="69" t="str">
        <f t="shared" si="21"/>
        <v/>
      </c>
      <c r="E406" s="84"/>
      <c r="F406" s="126" t="str">
        <f t="shared" si="22"/>
        <v/>
      </c>
      <c r="G406" s="75"/>
      <c r="H406" s="106"/>
      <c r="I406" s="106"/>
      <c r="J406" s="106"/>
      <c r="K406" s="103"/>
      <c r="L406" s="124"/>
      <c r="M406" s="12" t="b">
        <f t="shared" si="23"/>
        <v>0</v>
      </c>
    </row>
    <row r="407" spans="2:13" ht="22.5">
      <c r="B407" s="26">
        <v>395</v>
      </c>
      <c r="C407" s="77"/>
      <c r="D407" s="69" t="str">
        <f t="shared" si="21"/>
        <v/>
      </c>
      <c r="E407" s="84"/>
      <c r="F407" s="126" t="str">
        <f t="shared" si="22"/>
        <v/>
      </c>
      <c r="G407" s="75"/>
      <c r="H407" s="106"/>
      <c r="I407" s="106"/>
      <c r="J407" s="106"/>
      <c r="K407" s="103"/>
      <c r="L407" s="124"/>
      <c r="M407" s="12" t="b">
        <f t="shared" si="23"/>
        <v>0</v>
      </c>
    </row>
    <row r="408" spans="2:13" ht="22.5">
      <c r="B408" s="26">
        <v>396</v>
      </c>
      <c r="C408" s="77"/>
      <c r="D408" s="69" t="str">
        <f t="shared" si="21"/>
        <v/>
      </c>
      <c r="E408" s="84"/>
      <c r="F408" s="126" t="str">
        <f t="shared" si="22"/>
        <v/>
      </c>
      <c r="G408" s="75"/>
      <c r="H408" s="106"/>
      <c r="I408" s="106"/>
      <c r="J408" s="106"/>
      <c r="K408" s="103"/>
      <c r="L408" s="124"/>
      <c r="M408" s="12" t="b">
        <f t="shared" si="23"/>
        <v>0</v>
      </c>
    </row>
    <row r="409" spans="2:13" ht="22.5">
      <c r="B409" s="26">
        <v>397</v>
      </c>
      <c r="C409" s="77"/>
      <c r="D409" s="69" t="str">
        <f t="shared" si="21"/>
        <v/>
      </c>
      <c r="E409" s="84"/>
      <c r="F409" s="126" t="str">
        <f t="shared" si="22"/>
        <v/>
      </c>
      <c r="G409" s="75"/>
      <c r="H409" s="106"/>
      <c r="I409" s="106"/>
      <c r="J409" s="106"/>
      <c r="K409" s="103"/>
      <c r="L409" s="124"/>
      <c r="M409" s="12" t="b">
        <f t="shared" si="23"/>
        <v>0</v>
      </c>
    </row>
    <row r="410" spans="2:13" ht="22.5">
      <c r="B410" s="26">
        <v>398</v>
      </c>
      <c r="C410" s="77"/>
      <c r="D410" s="69" t="str">
        <f t="shared" si="21"/>
        <v/>
      </c>
      <c r="E410" s="84"/>
      <c r="F410" s="126" t="str">
        <f t="shared" si="22"/>
        <v/>
      </c>
      <c r="G410" s="75"/>
      <c r="H410" s="106"/>
      <c r="I410" s="106"/>
      <c r="J410" s="106"/>
      <c r="K410" s="103"/>
      <c r="L410" s="124"/>
      <c r="M410" s="12" t="b">
        <f t="shared" si="23"/>
        <v>0</v>
      </c>
    </row>
    <row r="411" spans="2:13" ht="22.5">
      <c r="B411" s="26">
        <v>399</v>
      </c>
      <c r="C411" s="77"/>
      <c r="D411" s="69" t="str">
        <f t="shared" si="21"/>
        <v/>
      </c>
      <c r="E411" s="84"/>
      <c r="F411" s="126" t="str">
        <f t="shared" si="22"/>
        <v/>
      </c>
      <c r="G411" s="75"/>
      <c r="H411" s="106"/>
      <c r="I411" s="106"/>
      <c r="J411" s="106"/>
      <c r="K411" s="103"/>
      <c r="L411" s="124"/>
      <c r="M411" s="12" t="b">
        <f t="shared" si="23"/>
        <v>0</v>
      </c>
    </row>
    <row r="412" spans="2:13" ht="22.5">
      <c r="B412" s="26">
        <v>400</v>
      </c>
      <c r="C412" s="77"/>
      <c r="D412" s="69" t="str">
        <f t="shared" si="21"/>
        <v/>
      </c>
      <c r="E412" s="84"/>
      <c r="F412" s="126" t="str">
        <f t="shared" si="22"/>
        <v/>
      </c>
      <c r="G412" s="75"/>
      <c r="H412" s="106"/>
      <c r="I412" s="106"/>
      <c r="J412" s="106"/>
      <c r="K412" s="103"/>
      <c r="L412" s="124"/>
      <c r="M412" s="12" t="b">
        <f t="shared" si="23"/>
        <v>0</v>
      </c>
    </row>
    <row r="413" spans="2:13" ht="22.5">
      <c r="B413" s="26">
        <v>401</v>
      </c>
      <c r="C413" s="77"/>
      <c r="D413" s="69" t="str">
        <f t="shared" si="21"/>
        <v/>
      </c>
      <c r="E413" s="84"/>
      <c r="F413" s="126" t="str">
        <f t="shared" si="22"/>
        <v/>
      </c>
      <c r="G413" s="75"/>
      <c r="H413" s="106"/>
      <c r="I413" s="106"/>
      <c r="J413" s="106"/>
      <c r="K413" s="103"/>
      <c r="L413" s="124"/>
      <c r="M413" s="12" t="b">
        <f t="shared" si="23"/>
        <v>0</v>
      </c>
    </row>
    <row r="414" spans="2:13" ht="22.5">
      <c r="B414" s="26">
        <v>402</v>
      </c>
      <c r="C414" s="77"/>
      <c r="D414" s="69" t="str">
        <f t="shared" si="21"/>
        <v/>
      </c>
      <c r="E414" s="84"/>
      <c r="F414" s="126" t="str">
        <f t="shared" si="22"/>
        <v/>
      </c>
      <c r="G414" s="75"/>
      <c r="H414" s="106"/>
      <c r="I414" s="106"/>
      <c r="J414" s="106"/>
      <c r="K414" s="103"/>
      <c r="L414" s="124"/>
      <c r="M414" s="12" t="b">
        <f t="shared" si="23"/>
        <v>0</v>
      </c>
    </row>
    <row r="415" spans="2:13" ht="22.5">
      <c r="B415" s="26">
        <v>403</v>
      </c>
      <c r="C415" s="77"/>
      <c r="D415" s="69" t="str">
        <f t="shared" si="21"/>
        <v/>
      </c>
      <c r="E415" s="84"/>
      <c r="F415" s="126" t="str">
        <f t="shared" si="22"/>
        <v/>
      </c>
      <c r="G415" s="75"/>
      <c r="H415" s="106"/>
      <c r="I415" s="106"/>
      <c r="J415" s="106"/>
      <c r="K415" s="103"/>
      <c r="L415" s="124"/>
      <c r="M415" s="12" t="b">
        <f t="shared" si="23"/>
        <v>0</v>
      </c>
    </row>
    <row r="416" spans="2:13" ht="22.5">
      <c r="B416" s="26">
        <v>404</v>
      </c>
      <c r="C416" s="77"/>
      <c r="D416" s="69" t="str">
        <f t="shared" si="21"/>
        <v/>
      </c>
      <c r="E416" s="84"/>
      <c r="F416" s="126" t="str">
        <f t="shared" si="22"/>
        <v/>
      </c>
      <c r="G416" s="75"/>
      <c r="H416" s="106"/>
      <c r="I416" s="106"/>
      <c r="J416" s="106"/>
      <c r="K416" s="103"/>
      <c r="L416" s="124"/>
      <c r="M416" s="12" t="b">
        <f t="shared" si="23"/>
        <v>0</v>
      </c>
    </row>
    <row r="417" spans="2:13" ht="22.5">
      <c r="B417" s="26">
        <v>405</v>
      </c>
      <c r="C417" s="77"/>
      <c r="D417" s="69" t="str">
        <f t="shared" si="21"/>
        <v/>
      </c>
      <c r="E417" s="84"/>
      <c r="F417" s="126" t="str">
        <f t="shared" si="22"/>
        <v/>
      </c>
      <c r="G417" s="75"/>
      <c r="H417" s="106"/>
      <c r="I417" s="106"/>
      <c r="J417" s="106"/>
      <c r="K417" s="103"/>
      <c r="L417" s="124"/>
      <c r="M417" s="12" t="b">
        <f t="shared" si="23"/>
        <v>0</v>
      </c>
    </row>
    <row r="418" spans="2:13" ht="22.5">
      <c r="B418" s="26">
        <v>406</v>
      </c>
      <c r="C418" s="77"/>
      <c r="D418" s="69" t="str">
        <f t="shared" si="21"/>
        <v/>
      </c>
      <c r="E418" s="84"/>
      <c r="F418" s="126" t="str">
        <f t="shared" si="22"/>
        <v/>
      </c>
      <c r="G418" s="75"/>
      <c r="H418" s="106"/>
      <c r="I418" s="106"/>
      <c r="J418" s="106"/>
      <c r="K418" s="103"/>
      <c r="L418" s="124"/>
      <c r="M418" s="12" t="b">
        <f t="shared" si="23"/>
        <v>0</v>
      </c>
    </row>
    <row r="419" spans="2:13" ht="22.5">
      <c r="B419" s="26">
        <v>407</v>
      </c>
      <c r="C419" s="77"/>
      <c r="D419" s="69" t="str">
        <f t="shared" si="21"/>
        <v/>
      </c>
      <c r="E419" s="84"/>
      <c r="F419" s="126" t="str">
        <f t="shared" si="22"/>
        <v/>
      </c>
      <c r="G419" s="75"/>
      <c r="H419" s="106"/>
      <c r="I419" s="106"/>
      <c r="J419" s="106"/>
      <c r="K419" s="103"/>
      <c r="L419" s="124"/>
      <c r="M419" s="12" t="b">
        <f t="shared" si="23"/>
        <v>0</v>
      </c>
    </row>
    <row r="420" spans="2:13" ht="22.5">
      <c r="B420" s="26">
        <v>408</v>
      </c>
      <c r="C420" s="77"/>
      <c r="D420" s="69" t="str">
        <f t="shared" si="21"/>
        <v/>
      </c>
      <c r="E420" s="84"/>
      <c r="F420" s="126" t="str">
        <f t="shared" si="22"/>
        <v/>
      </c>
      <c r="G420" s="75"/>
      <c r="H420" s="106"/>
      <c r="I420" s="106"/>
      <c r="J420" s="106"/>
      <c r="K420" s="103"/>
      <c r="L420" s="124"/>
      <c r="M420" s="12" t="b">
        <f t="shared" si="23"/>
        <v>0</v>
      </c>
    </row>
    <row r="421" spans="2:13" ht="22.5">
      <c r="B421" s="26">
        <v>409</v>
      </c>
      <c r="C421" s="77"/>
      <c r="D421" s="69" t="str">
        <f t="shared" si="21"/>
        <v/>
      </c>
      <c r="E421" s="84"/>
      <c r="F421" s="126" t="str">
        <f t="shared" si="22"/>
        <v/>
      </c>
      <c r="G421" s="75"/>
      <c r="H421" s="106"/>
      <c r="I421" s="106"/>
      <c r="J421" s="106"/>
      <c r="K421" s="103"/>
      <c r="L421" s="124"/>
      <c r="M421" s="12" t="b">
        <f t="shared" si="23"/>
        <v>0</v>
      </c>
    </row>
    <row r="422" spans="2:13" ht="22.5">
      <c r="B422" s="26">
        <v>410</v>
      </c>
      <c r="C422" s="77"/>
      <c r="D422" s="69" t="str">
        <f t="shared" si="21"/>
        <v/>
      </c>
      <c r="E422" s="84"/>
      <c r="F422" s="126" t="str">
        <f t="shared" si="22"/>
        <v/>
      </c>
      <c r="G422" s="75"/>
      <c r="H422" s="106"/>
      <c r="I422" s="106"/>
      <c r="J422" s="106"/>
      <c r="K422" s="103"/>
      <c r="L422" s="124"/>
      <c r="M422" s="12" t="b">
        <f t="shared" si="23"/>
        <v>0</v>
      </c>
    </row>
    <row r="423" spans="2:13" ht="22.5">
      <c r="B423" s="26">
        <v>411</v>
      </c>
      <c r="C423" s="77"/>
      <c r="D423" s="69" t="str">
        <f t="shared" si="21"/>
        <v/>
      </c>
      <c r="E423" s="84"/>
      <c r="F423" s="126" t="str">
        <f t="shared" si="22"/>
        <v/>
      </c>
      <c r="G423" s="75"/>
      <c r="H423" s="106"/>
      <c r="I423" s="106"/>
      <c r="J423" s="106"/>
      <c r="K423" s="103"/>
      <c r="L423" s="124"/>
      <c r="M423" s="12" t="b">
        <f t="shared" si="23"/>
        <v>0</v>
      </c>
    </row>
    <row r="424" spans="2:13" ht="22.5">
      <c r="B424" s="26">
        <v>412</v>
      </c>
      <c r="C424" s="77"/>
      <c r="D424" s="69" t="str">
        <f t="shared" si="21"/>
        <v/>
      </c>
      <c r="E424" s="84"/>
      <c r="F424" s="126" t="str">
        <f t="shared" si="22"/>
        <v/>
      </c>
      <c r="G424" s="75"/>
      <c r="H424" s="106"/>
      <c r="I424" s="106"/>
      <c r="J424" s="106"/>
      <c r="K424" s="103"/>
      <c r="L424" s="124"/>
      <c r="M424" s="12" t="b">
        <f t="shared" si="23"/>
        <v>0</v>
      </c>
    </row>
    <row r="425" spans="2:13" ht="22.5">
      <c r="B425" s="26">
        <v>413</v>
      </c>
      <c r="C425" s="77"/>
      <c r="D425" s="69" t="str">
        <f t="shared" si="21"/>
        <v/>
      </c>
      <c r="E425" s="84"/>
      <c r="F425" s="126" t="str">
        <f t="shared" si="22"/>
        <v/>
      </c>
      <c r="G425" s="75"/>
      <c r="H425" s="106"/>
      <c r="I425" s="106"/>
      <c r="J425" s="106"/>
      <c r="K425" s="103"/>
      <c r="L425" s="124"/>
      <c r="M425" s="12" t="b">
        <f t="shared" si="23"/>
        <v>0</v>
      </c>
    </row>
    <row r="426" spans="2:13" ht="22.5">
      <c r="B426" s="26">
        <v>414</v>
      </c>
      <c r="C426" s="77"/>
      <c r="D426" s="69" t="str">
        <f t="shared" si="21"/>
        <v/>
      </c>
      <c r="E426" s="84"/>
      <c r="F426" s="126" t="str">
        <f t="shared" si="22"/>
        <v/>
      </c>
      <c r="G426" s="75"/>
      <c r="H426" s="106"/>
      <c r="I426" s="106"/>
      <c r="J426" s="106"/>
      <c r="K426" s="103"/>
      <c r="L426" s="124"/>
      <c r="M426" s="12" t="b">
        <f t="shared" si="23"/>
        <v>0</v>
      </c>
    </row>
    <row r="427" spans="2:13" ht="22.5">
      <c r="B427" s="26">
        <v>415</v>
      </c>
      <c r="C427" s="77"/>
      <c r="D427" s="69" t="str">
        <f t="shared" si="21"/>
        <v/>
      </c>
      <c r="E427" s="84"/>
      <c r="F427" s="126" t="str">
        <f t="shared" si="22"/>
        <v/>
      </c>
      <c r="G427" s="75"/>
      <c r="H427" s="106"/>
      <c r="I427" s="106"/>
      <c r="J427" s="106"/>
      <c r="K427" s="103"/>
      <c r="L427" s="124"/>
      <c r="M427" s="12" t="b">
        <f t="shared" si="23"/>
        <v>0</v>
      </c>
    </row>
    <row r="428" spans="2:13" ht="22.5">
      <c r="B428" s="26">
        <v>416</v>
      </c>
      <c r="C428" s="77"/>
      <c r="D428" s="69" t="str">
        <f t="shared" si="21"/>
        <v/>
      </c>
      <c r="E428" s="84"/>
      <c r="F428" s="126" t="str">
        <f t="shared" si="22"/>
        <v/>
      </c>
      <c r="G428" s="75"/>
      <c r="H428" s="106"/>
      <c r="I428" s="106"/>
      <c r="J428" s="106"/>
      <c r="K428" s="103"/>
      <c r="L428" s="124"/>
      <c r="M428" s="12" t="b">
        <f t="shared" si="23"/>
        <v>0</v>
      </c>
    </row>
    <row r="429" spans="2:13" ht="22.5">
      <c r="B429" s="26">
        <v>417</v>
      </c>
      <c r="C429" s="77"/>
      <c r="D429" s="69" t="str">
        <f t="shared" si="21"/>
        <v/>
      </c>
      <c r="E429" s="84"/>
      <c r="F429" s="126" t="str">
        <f t="shared" si="22"/>
        <v/>
      </c>
      <c r="G429" s="75"/>
      <c r="H429" s="106"/>
      <c r="I429" s="106"/>
      <c r="J429" s="106"/>
      <c r="K429" s="103"/>
      <c r="L429" s="124"/>
      <c r="M429" s="12" t="b">
        <f t="shared" si="23"/>
        <v>0</v>
      </c>
    </row>
    <row r="430" spans="2:13" ht="22.5">
      <c r="B430" s="26">
        <v>418</v>
      </c>
      <c r="C430" s="77"/>
      <c r="D430" s="69" t="str">
        <f t="shared" si="21"/>
        <v/>
      </c>
      <c r="E430" s="84"/>
      <c r="F430" s="126" t="str">
        <f t="shared" si="22"/>
        <v/>
      </c>
      <c r="G430" s="75"/>
      <c r="H430" s="106"/>
      <c r="I430" s="106"/>
      <c r="J430" s="106"/>
      <c r="K430" s="103"/>
      <c r="L430" s="124"/>
      <c r="M430" s="12" t="b">
        <f t="shared" si="23"/>
        <v>0</v>
      </c>
    </row>
    <row r="431" spans="2:13" ht="22.5">
      <c r="B431" s="26">
        <v>419</v>
      </c>
      <c r="C431" s="77"/>
      <c r="D431" s="69" t="str">
        <f t="shared" si="21"/>
        <v/>
      </c>
      <c r="E431" s="84"/>
      <c r="F431" s="126" t="str">
        <f t="shared" si="22"/>
        <v/>
      </c>
      <c r="G431" s="75"/>
      <c r="H431" s="106"/>
      <c r="I431" s="106"/>
      <c r="J431" s="106"/>
      <c r="K431" s="103"/>
      <c r="L431" s="124"/>
      <c r="M431" s="12" t="b">
        <f t="shared" si="23"/>
        <v>0</v>
      </c>
    </row>
    <row r="432" spans="2:13" ht="22.5">
      <c r="B432" s="26">
        <v>420</v>
      </c>
      <c r="C432" s="77"/>
      <c r="D432" s="69" t="str">
        <f t="shared" si="21"/>
        <v/>
      </c>
      <c r="E432" s="84"/>
      <c r="F432" s="126" t="str">
        <f t="shared" si="22"/>
        <v/>
      </c>
      <c r="G432" s="75"/>
      <c r="H432" s="106"/>
      <c r="I432" s="106"/>
      <c r="J432" s="106"/>
      <c r="K432" s="103"/>
      <c r="L432" s="124"/>
      <c r="M432" s="12" t="b">
        <f t="shared" si="23"/>
        <v>0</v>
      </c>
    </row>
    <row r="433" spans="2:13" ht="22.5">
      <c r="B433" s="26">
        <v>421</v>
      </c>
      <c r="C433" s="77"/>
      <c r="D433" s="69" t="str">
        <f t="shared" si="21"/>
        <v/>
      </c>
      <c r="E433" s="84"/>
      <c r="F433" s="126" t="str">
        <f t="shared" si="22"/>
        <v/>
      </c>
      <c r="G433" s="75"/>
      <c r="H433" s="106"/>
      <c r="I433" s="106"/>
      <c r="J433" s="106"/>
      <c r="K433" s="103"/>
      <c r="L433" s="124"/>
      <c r="M433" s="12" t="b">
        <f t="shared" si="23"/>
        <v>0</v>
      </c>
    </row>
    <row r="434" spans="2:13" ht="22.5">
      <c r="B434" s="26">
        <v>422</v>
      </c>
      <c r="C434" s="77"/>
      <c r="D434" s="69" t="str">
        <f t="shared" si="21"/>
        <v/>
      </c>
      <c r="E434" s="84"/>
      <c r="F434" s="126" t="str">
        <f t="shared" si="22"/>
        <v/>
      </c>
      <c r="G434" s="75"/>
      <c r="H434" s="106"/>
      <c r="I434" s="106"/>
      <c r="J434" s="106"/>
      <c r="K434" s="103"/>
      <c r="L434" s="124"/>
      <c r="M434" s="12" t="b">
        <f t="shared" si="23"/>
        <v>0</v>
      </c>
    </row>
    <row r="435" spans="2:13" ht="22.5">
      <c r="B435" s="26">
        <v>423</v>
      </c>
      <c r="C435" s="77"/>
      <c r="D435" s="69" t="str">
        <f t="shared" si="21"/>
        <v/>
      </c>
      <c r="E435" s="84"/>
      <c r="F435" s="126" t="str">
        <f t="shared" si="22"/>
        <v/>
      </c>
      <c r="G435" s="75"/>
      <c r="H435" s="106"/>
      <c r="I435" s="106"/>
      <c r="J435" s="106"/>
      <c r="K435" s="103"/>
      <c r="L435" s="124"/>
      <c r="M435" s="12" t="b">
        <f t="shared" si="23"/>
        <v>0</v>
      </c>
    </row>
    <row r="436" spans="2:13" ht="22.5">
      <c r="B436" s="26">
        <v>424</v>
      </c>
      <c r="C436" s="77"/>
      <c r="D436" s="69" t="str">
        <f t="shared" si="21"/>
        <v/>
      </c>
      <c r="E436" s="84"/>
      <c r="F436" s="126" t="str">
        <f t="shared" si="22"/>
        <v/>
      </c>
      <c r="G436" s="75"/>
      <c r="H436" s="106"/>
      <c r="I436" s="106"/>
      <c r="J436" s="106"/>
      <c r="K436" s="103"/>
      <c r="L436" s="124"/>
      <c r="M436" s="12" t="b">
        <f t="shared" si="23"/>
        <v>0</v>
      </c>
    </row>
    <row r="437" spans="2:13" ht="22.5">
      <c r="B437" s="26">
        <v>425</v>
      </c>
      <c r="C437" s="77"/>
      <c r="D437" s="69" t="str">
        <f t="shared" si="21"/>
        <v/>
      </c>
      <c r="E437" s="84"/>
      <c r="F437" s="126" t="str">
        <f t="shared" si="22"/>
        <v/>
      </c>
      <c r="G437" s="75"/>
      <c r="H437" s="106"/>
      <c r="I437" s="106"/>
      <c r="J437" s="106"/>
      <c r="K437" s="103"/>
      <c r="L437" s="124"/>
      <c r="M437" s="12" t="b">
        <f t="shared" si="23"/>
        <v>0</v>
      </c>
    </row>
    <row r="438" spans="2:13" ht="22.5">
      <c r="B438" s="26">
        <v>426</v>
      </c>
      <c r="C438" s="77"/>
      <c r="D438" s="69" t="str">
        <f t="shared" si="21"/>
        <v/>
      </c>
      <c r="E438" s="84"/>
      <c r="F438" s="126" t="str">
        <f t="shared" si="22"/>
        <v/>
      </c>
      <c r="G438" s="75"/>
      <c r="H438" s="106"/>
      <c r="I438" s="106"/>
      <c r="J438" s="106"/>
      <c r="K438" s="103"/>
      <c r="L438" s="124"/>
      <c r="M438" s="12" t="b">
        <f t="shared" si="23"/>
        <v>0</v>
      </c>
    </row>
    <row r="439" spans="2:13" ht="22.5">
      <c r="B439" s="26">
        <v>427</v>
      </c>
      <c r="C439" s="77"/>
      <c r="D439" s="69" t="str">
        <f t="shared" si="21"/>
        <v/>
      </c>
      <c r="E439" s="84"/>
      <c r="F439" s="126" t="str">
        <f t="shared" si="22"/>
        <v/>
      </c>
      <c r="G439" s="75"/>
      <c r="H439" s="106"/>
      <c r="I439" s="106"/>
      <c r="J439" s="106"/>
      <c r="K439" s="103"/>
      <c r="L439" s="124"/>
      <c r="M439" s="12" t="b">
        <f t="shared" si="23"/>
        <v>0</v>
      </c>
    </row>
    <row r="440" spans="2:13" ht="22.5">
      <c r="B440" s="26">
        <v>428</v>
      </c>
      <c r="C440" s="77"/>
      <c r="D440" s="69" t="str">
        <f t="shared" si="21"/>
        <v/>
      </c>
      <c r="E440" s="84"/>
      <c r="F440" s="126" t="str">
        <f t="shared" si="22"/>
        <v/>
      </c>
      <c r="G440" s="75"/>
      <c r="H440" s="106"/>
      <c r="I440" s="106"/>
      <c r="J440" s="106"/>
      <c r="K440" s="103"/>
      <c r="L440" s="124"/>
      <c r="M440" s="12" t="b">
        <f t="shared" si="23"/>
        <v>0</v>
      </c>
    </row>
    <row r="441" spans="2:13" ht="22.5">
      <c r="B441" s="26">
        <v>429</v>
      </c>
      <c r="C441" s="77"/>
      <c r="D441" s="69" t="str">
        <f t="shared" si="21"/>
        <v/>
      </c>
      <c r="E441" s="84"/>
      <c r="F441" s="126" t="str">
        <f t="shared" si="22"/>
        <v/>
      </c>
      <c r="G441" s="75"/>
      <c r="H441" s="106"/>
      <c r="I441" s="106"/>
      <c r="J441" s="106"/>
      <c r="K441" s="103"/>
      <c r="L441" s="124"/>
      <c r="M441" s="12" t="b">
        <f t="shared" si="23"/>
        <v>0</v>
      </c>
    </row>
    <row r="442" spans="2:13" ht="22.5">
      <c r="B442" s="26">
        <v>430</v>
      </c>
      <c r="C442" s="77"/>
      <c r="D442" s="69" t="str">
        <f t="shared" si="21"/>
        <v/>
      </c>
      <c r="E442" s="84"/>
      <c r="F442" s="126" t="str">
        <f t="shared" si="22"/>
        <v/>
      </c>
      <c r="G442" s="75"/>
      <c r="H442" s="106"/>
      <c r="I442" s="106"/>
      <c r="J442" s="106"/>
      <c r="K442" s="103"/>
      <c r="L442" s="124"/>
      <c r="M442" s="12" t="b">
        <f t="shared" si="23"/>
        <v>0</v>
      </c>
    </row>
    <row r="443" spans="2:13" ht="22.5">
      <c r="B443" s="26">
        <v>431</v>
      </c>
      <c r="C443" s="77"/>
      <c r="D443" s="69" t="str">
        <f t="shared" si="21"/>
        <v/>
      </c>
      <c r="E443" s="84"/>
      <c r="F443" s="126" t="str">
        <f t="shared" si="22"/>
        <v/>
      </c>
      <c r="G443" s="75"/>
      <c r="H443" s="106"/>
      <c r="I443" s="106"/>
      <c r="J443" s="106"/>
      <c r="K443" s="103"/>
      <c r="L443" s="124"/>
      <c r="M443" s="12" t="b">
        <f t="shared" si="23"/>
        <v>0</v>
      </c>
    </row>
    <row r="444" spans="2:13" ht="22.5">
      <c r="B444" s="26">
        <v>432</v>
      </c>
      <c r="C444" s="77"/>
      <c r="D444" s="69" t="str">
        <f t="shared" si="21"/>
        <v/>
      </c>
      <c r="E444" s="84"/>
      <c r="F444" s="126" t="str">
        <f t="shared" si="22"/>
        <v/>
      </c>
      <c r="G444" s="75"/>
      <c r="H444" s="106"/>
      <c r="I444" s="106"/>
      <c r="J444" s="106"/>
      <c r="K444" s="103"/>
      <c r="L444" s="124"/>
      <c r="M444" s="12" t="b">
        <f t="shared" si="23"/>
        <v>0</v>
      </c>
    </row>
    <row r="445" spans="2:13" ht="22.5">
      <c r="B445" s="26">
        <v>433</v>
      </c>
      <c r="C445" s="77"/>
      <c r="D445" s="69" t="str">
        <f t="shared" si="21"/>
        <v/>
      </c>
      <c r="E445" s="84"/>
      <c r="F445" s="126" t="str">
        <f t="shared" si="22"/>
        <v/>
      </c>
      <c r="G445" s="75"/>
      <c r="H445" s="106"/>
      <c r="I445" s="106"/>
      <c r="J445" s="106"/>
      <c r="K445" s="103"/>
      <c r="L445" s="124"/>
      <c r="M445" s="12" t="b">
        <f t="shared" si="23"/>
        <v>0</v>
      </c>
    </row>
    <row r="446" spans="2:13" ht="22.5">
      <c r="B446" s="26">
        <v>434</v>
      </c>
      <c r="C446" s="77"/>
      <c r="D446" s="69" t="str">
        <f t="shared" si="21"/>
        <v/>
      </c>
      <c r="E446" s="84"/>
      <c r="F446" s="126" t="str">
        <f t="shared" si="22"/>
        <v/>
      </c>
      <c r="G446" s="75"/>
      <c r="H446" s="106"/>
      <c r="I446" s="106"/>
      <c r="J446" s="106"/>
      <c r="K446" s="103"/>
      <c r="L446" s="124"/>
      <c r="M446" s="12" t="b">
        <f t="shared" si="23"/>
        <v>0</v>
      </c>
    </row>
    <row r="447" spans="2:13" ht="22.5">
      <c r="B447" s="26">
        <v>435</v>
      </c>
      <c r="C447" s="77"/>
      <c r="D447" s="69" t="str">
        <f t="shared" si="21"/>
        <v/>
      </c>
      <c r="E447" s="84"/>
      <c r="F447" s="126" t="str">
        <f t="shared" si="22"/>
        <v/>
      </c>
      <c r="G447" s="75"/>
      <c r="H447" s="106"/>
      <c r="I447" s="106"/>
      <c r="J447" s="106"/>
      <c r="K447" s="103"/>
      <c r="L447" s="124"/>
      <c r="M447" s="12" t="b">
        <f t="shared" si="23"/>
        <v>0</v>
      </c>
    </row>
    <row r="448" spans="2:13" ht="22.5">
      <c r="B448" s="26">
        <v>436</v>
      </c>
      <c r="C448" s="77"/>
      <c r="D448" s="69" t="str">
        <f t="shared" si="21"/>
        <v/>
      </c>
      <c r="E448" s="84"/>
      <c r="F448" s="126" t="str">
        <f t="shared" si="22"/>
        <v/>
      </c>
      <c r="G448" s="75"/>
      <c r="H448" s="106"/>
      <c r="I448" s="106"/>
      <c r="J448" s="106"/>
      <c r="K448" s="103"/>
      <c r="L448" s="124"/>
      <c r="M448" s="12" t="b">
        <f t="shared" si="23"/>
        <v>0</v>
      </c>
    </row>
    <row r="449" spans="2:13" ht="22.5">
      <c r="B449" s="26">
        <v>437</v>
      </c>
      <c r="C449" s="77"/>
      <c r="D449" s="69" t="str">
        <f t="shared" si="21"/>
        <v/>
      </c>
      <c r="E449" s="84"/>
      <c r="F449" s="126" t="str">
        <f t="shared" si="22"/>
        <v/>
      </c>
      <c r="G449" s="75"/>
      <c r="H449" s="106"/>
      <c r="I449" s="106"/>
      <c r="J449" s="106"/>
      <c r="K449" s="103"/>
      <c r="L449" s="124"/>
      <c r="M449" s="12" t="b">
        <f t="shared" si="23"/>
        <v>0</v>
      </c>
    </row>
    <row r="450" spans="2:13" ht="22.5">
      <c r="B450" s="26">
        <v>438</v>
      </c>
      <c r="C450" s="77"/>
      <c r="D450" s="69" t="str">
        <f t="shared" si="21"/>
        <v/>
      </c>
      <c r="E450" s="84"/>
      <c r="F450" s="126" t="str">
        <f t="shared" si="22"/>
        <v/>
      </c>
      <c r="G450" s="75"/>
      <c r="H450" s="106"/>
      <c r="I450" s="106"/>
      <c r="J450" s="106"/>
      <c r="K450" s="103"/>
      <c r="L450" s="124"/>
      <c r="M450" s="12" t="b">
        <f t="shared" si="23"/>
        <v>0</v>
      </c>
    </row>
    <row r="451" spans="2:13" ht="22.5">
      <c r="B451" s="26">
        <v>439</v>
      </c>
      <c r="C451" s="77"/>
      <c r="D451" s="69" t="str">
        <f t="shared" si="21"/>
        <v/>
      </c>
      <c r="E451" s="84"/>
      <c r="F451" s="126" t="str">
        <f t="shared" si="22"/>
        <v/>
      </c>
      <c r="G451" s="75"/>
      <c r="H451" s="106"/>
      <c r="I451" s="106"/>
      <c r="J451" s="106"/>
      <c r="K451" s="103"/>
      <c r="L451" s="124"/>
      <c r="M451" s="12" t="b">
        <f t="shared" si="23"/>
        <v>0</v>
      </c>
    </row>
    <row r="452" spans="2:13" ht="22.5">
      <c r="B452" s="26">
        <v>440</v>
      </c>
      <c r="C452" s="77"/>
      <c r="D452" s="69" t="str">
        <f t="shared" si="21"/>
        <v/>
      </c>
      <c r="E452" s="84"/>
      <c r="F452" s="126" t="str">
        <f t="shared" si="22"/>
        <v/>
      </c>
      <c r="G452" s="75"/>
      <c r="H452" s="106"/>
      <c r="I452" s="106"/>
      <c r="J452" s="106"/>
      <c r="K452" s="103"/>
      <c r="L452" s="124"/>
      <c r="M452" s="12" t="b">
        <f t="shared" si="23"/>
        <v>0</v>
      </c>
    </row>
    <row r="453" spans="2:13" ht="22.5">
      <c r="B453" s="26">
        <v>441</v>
      </c>
      <c r="C453" s="77"/>
      <c r="D453" s="69" t="str">
        <f t="shared" si="21"/>
        <v/>
      </c>
      <c r="E453" s="84"/>
      <c r="F453" s="126" t="str">
        <f t="shared" si="22"/>
        <v/>
      </c>
      <c r="G453" s="75"/>
      <c r="H453" s="106"/>
      <c r="I453" s="106"/>
      <c r="J453" s="106"/>
      <c r="K453" s="103"/>
      <c r="L453" s="124"/>
      <c r="M453" s="12" t="b">
        <f t="shared" si="23"/>
        <v>0</v>
      </c>
    </row>
    <row r="454" spans="2:13" ht="22.5">
      <c r="B454" s="26">
        <v>442</v>
      </c>
      <c r="C454" s="77"/>
      <c r="D454" s="69" t="str">
        <f t="shared" si="21"/>
        <v/>
      </c>
      <c r="E454" s="84"/>
      <c r="F454" s="126" t="str">
        <f t="shared" si="22"/>
        <v/>
      </c>
      <c r="G454" s="75"/>
      <c r="H454" s="106"/>
      <c r="I454" s="106"/>
      <c r="J454" s="106"/>
      <c r="K454" s="103"/>
      <c r="L454" s="124"/>
      <c r="M454" s="12" t="b">
        <f t="shared" si="23"/>
        <v>0</v>
      </c>
    </row>
    <row r="455" spans="2:13" ht="22.5">
      <c r="B455" s="26">
        <v>443</v>
      </c>
      <c r="C455" s="77"/>
      <c r="D455" s="69" t="str">
        <f t="shared" si="21"/>
        <v/>
      </c>
      <c r="E455" s="84"/>
      <c r="F455" s="126" t="str">
        <f t="shared" si="22"/>
        <v/>
      </c>
      <c r="G455" s="75"/>
      <c r="H455" s="106"/>
      <c r="I455" s="106"/>
      <c r="J455" s="106"/>
      <c r="K455" s="103"/>
      <c r="L455" s="124"/>
      <c r="M455" s="12" t="b">
        <f t="shared" si="23"/>
        <v>0</v>
      </c>
    </row>
    <row r="456" spans="2:13" ht="22.5">
      <c r="B456" s="26">
        <v>444</v>
      </c>
      <c r="C456" s="77"/>
      <c r="D456" s="69" t="str">
        <f t="shared" si="21"/>
        <v/>
      </c>
      <c r="E456" s="84"/>
      <c r="F456" s="126" t="str">
        <f t="shared" si="22"/>
        <v/>
      </c>
      <c r="G456" s="75"/>
      <c r="H456" s="106"/>
      <c r="I456" s="106"/>
      <c r="J456" s="106"/>
      <c r="K456" s="103"/>
      <c r="L456" s="124"/>
      <c r="M456" s="12" t="b">
        <f t="shared" si="23"/>
        <v>0</v>
      </c>
    </row>
    <row r="457" spans="2:13" ht="22.5">
      <c r="B457" s="26">
        <v>445</v>
      </c>
      <c r="C457" s="77"/>
      <c r="D457" s="69" t="str">
        <f t="shared" si="21"/>
        <v/>
      </c>
      <c r="E457" s="84"/>
      <c r="F457" s="126" t="str">
        <f t="shared" si="22"/>
        <v/>
      </c>
      <c r="G457" s="75"/>
      <c r="H457" s="106"/>
      <c r="I457" s="106"/>
      <c r="J457" s="106"/>
      <c r="K457" s="103"/>
      <c r="L457" s="124"/>
      <c r="M457" s="12" t="b">
        <f t="shared" si="23"/>
        <v>0</v>
      </c>
    </row>
    <row r="458" spans="2:13" ht="22.5">
      <c r="B458" s="26">
        <v>446</v>
      </c>
      <c r="C458" s="77"/>
      <c r="D458" s="69" t="str">
        <f t="shared" si="21"/>
        <v/>
      </c>
      <c r="E458" s="84"/>
      <c r="F458" s="126" t="str">
        <f t="shared" si="22"/>
        <v/>
      </c>
      <c r="G458" s="75"/>
      <c r="H458" s="106"/>
      <c r="I458" s="106"/>
      <c r="J458" s="106"/>
      <c r="K458" s="103"/>
      <c r="L458" s="124"/>
      <c r="M458" s="12" t="b">
        <f t="shared" si="23"/>
        <v>0</v>
      </c>
    </row>
    <row r="459" spans="2:13" ht="22.5">
      <c r="B459" s="26">
        <v>447</v>
      </c>
      <c r="C459" s="77"/>
      <c r="D459" s="69" t="str">
        <f t="shared" si="21"/>
        <v/>
      </c>
      <c r="E459" s="84"/>
      <c r="F459" s="126" t="str">
        <f t="shared" si="22"/>
        <v/>
      </c>
      <c r="G459" s="75"/>
      <c r="H459" s="106"/>
      <c r="I459" s="106"/>
      <c r="J459" s="106"/>
      <c r="K459" s="103"/>
      <c r="L459" s="124"/>
      <c r="M459" s="12" t="b">
        <f t="shared" si="23"/>
        <v>0</v>
      </c>
    </row>
    <row r="460" spans="2:13" ht="22.5">
      <c r="B460" s="26">
        <v>448</v>
      </c>
      <c r="C460" s="77"/>
      <c r="D460" s="69" t="str">
        <f t="shared" si="21"/>
        <v/>
      </c>
      <c r="E460" s="84"/>
      <c r="F460" s="126" t="str">
        <f t="shared" si="22"/>
        <v/>
      </c>
      <c r="G460" s="75"/>
      <c r="H460" s="106"/>
      <c r="I460" s="106"/>
      <c r="J460" s="106"/>
      <c r="K460" s="103"/>
      <c r="L460" s="124"/>
      <c r="M460" s="12" t="b">
        <f t="shared" si="23"/>
        <v>0</v>
      </c>
    </row>
    <row r="461" spans="2:13" ht="22.5">
      <c r="B461" s="26">
        <v>449</v>
      </c>
      <c r="C461" s="77"/>
      <c r="D461" s="69" t="str">
        <f t="shared" si="21"/>
        <v/>
      </c>
      <c r="E461" s="84"/>
      <c r="F461" s="126" t="str">
        <f t="shared" si="22"/>
        <v/>
      </c>
      <c r="G461" s="75"/>
      <c r="H461" s="106"/>
      <c r="I461" s="106"/>
      <c r="J461" s="106"/>
      <c r="K461" s="103"/>
      <c r="L461" s="124"/>
      <c r="M461" s="12" t="b">
        <f t="shared" si="23"/>
        <v>0</v>
      </c>
    </row>
    <row r="462" spans="2:13" ht="22.5">
      <c r="B462" s="26">
        <v>450</v>
      </c>
      <c r="C462" s="77"/>
      <c r="D462" s="69" t="str">
        <f t="shared" ref="D462:D512" si="24">IF(LEN(E462)=0,"",IF((AND(ISNUMBER(VALUE(E462)),LEN(E462)=12)),3,IF(AND(ISNUMBER(VALUE(E462)),(LEN(E462)=10)),1,IF(AND(OR((LEFT(E462)="R"),(LEFT(E462)="R")),(ISNUMBER(VALUE(RIGHT(E462,9)))),(LEN(E462)=10)),2,FALSE))))</f>
        <v/>
      </c>
      <c r="E462" s="84"/>
      <c r="F462" s="126" t="str">
        <f t="shared" ref="F462:F512" si="25">IF(D462=FALSE,"←ご確認ください",IF(OR(D462=1,D462=2,D462=3),"形式OK",""))</f>
        <v/>
      </c>
      <c r="G462" s="75"/>
      <c r="H462" s="106"/>
      <c r="I462" s="106"/>
      <c r="J462" s="106"/>
      <c r="K462" s="103"/>
      <c r="L462" s="124"/>
      <c r="M462" s="12" t="b">
        <f t="shared" ref="M462:M512" si="26">IF(COUNTA(E462,G462)=0,FALSE,TRUE)</f>
        <v>0</v>
      </c>
    </row>
    <row r="463" spans="2:13" ht="22.5">
      <c r="B463" s="26">
        <v>451</v>
      </c>
      <c r="C463" s="77"/>
      <c r="D463" s="69" t="str">
        <f t="shared" si="24"/>
        <v/>
      </c>
      <c r="E463" s="84"/>
      <c r="F463" s="126" t="str">
        <f t="shared" si="25"/>
        <v/>
      </c>
      <c r="G463" s="75"/>
      <c r="H463" s="106"/>
      <c r="I463" s="106"/>
      <c r="J463" s="106"/>
      <c r="K463" s="103"/>
      <c r="L463" s="124"/>
      <c r="M463" s="12" t="b">
        <f t="shared" si="26"/>
        <v>0</v>
      </c>
    </row>
    <row r="464" spans="2:13" ht="22.5">
      <c r="B464" s="26">
        <v>452</v>
      </c>
      <c r="C464" s="77"/>
      <c r="D464" s="69" t="str">
        <f t="shared" si="24"/>
        <v/>
      </c>
      <c r="E464" s="84"/>
      <c r="F464" s="126" t="str">
        <f t="shared" si="25"/>
        <v/>
      </c>
      <c r="G464" s="75"/>
      <c r="H464" s="106"/>
      <c r="I464" s="106"/>
      <c r="J464" s="106"/>
      <c r="K464" s="103"/>
      <c r="L464" s="124"/>
      <c r="M464" s="12" t="b">
        <f t="shared" si="26"/>
        <v>0</v>
      </c>
    </row>
    <row r="465" spans="2:13" ht="22.5">
      <c r="B465" s="26">
        <v>453</v>
      </c>
      <c r="C465" s="77"/>
      <c r="D465" s="69" t="str">
        <f t="shared" si="24"/>
        <v/>
      </c>
      <c r="E465" s="84"/>
      <c r="F465" s="126" t="str">
        <f t="shared" si="25"/>
        <v/>
      </c>
      <c r="G465" s="75"/>
      <c r="H465" s="106"/>
      <c r="I465" s="106"/>
      <c r="J465" s="106"/>
      <c r="K465" s="103"/>
      <c r="L465" s="124"/>
      <c r="M465" s="12" t="b">
        <f t="shared" si="26"/>
        <v>0</v>
      </c>
    </row>
    <row r="466" spans="2:13" ht="22.5">
      <c r="B466" s="26">
        <v>454</v>
      </c>
      <c r="C466" s="77"/>
      <c r="D466" s="69" t="str">
        <f t="shared" si="24"/>
        <v/>
      </c>
      <c r="E466" s="84"/>
      <c r="F466" s="126" t="str">
        <f t="shared" si="25"/>
        <v/>
      </c>
      <c r="G466" s="75"/>
      <c r="H466" s="106"/>
      <c r="I466" s="106"/>
      <c r="J466" s="106"/>
      <c r="K466" s="103"/>
      <c r="L466" s="124"/>
      <c r="M466" s="12" t="b">
        <f t="shared" si="26"/>
        <v>0</v>
      </c>
    </row>
    <row r="467" spans="2:13" ht="22.5">
      <c r="B467" s="26">
        <v>455</v>
      </c>
      <c r="C467" s="77"/>
      <c r="D467" s="69" t="str">
        <f t="shared" si="24"/>
        <v/>
      </c>
      <c r="E467" s="84"/>
      <c r="F467" s="126" t="str">
        <f t="shared" si="25"/>
        <v/>
      </c>
      <c r="G467" s="75"/>
      <c r="H467" s="106"/>
      <c r="I467" s="106"/>
      <c r="J467" s="106"/>
      <c r="K467" s="103"/>
      <c r="L467" s="124"/>
      <c r="M467" s="12" t="b">
        <f t="shared" si="26"/>
        <v>0</v>
      </c>
    </row>
    <row r="468" spans="2:13" ht="22.5">
      <c r="B468" s="26">
        <v>456</v>
      </c>
      <c r="C468" s="77"/>
      <c r="D468" s="69" t="str">
        <f t="shared" si="24"/>
        <v/>
      </c>
      <c r="E468" s="84"/>
      <c r="F468" s="126" t="str">
        <f t="shared" si="25"/>
        <v/>
      </c>
      <c r="G468" s="75"/>
      <c r="H468" s="106"/>
      <c r="I468" s="106"/>
      <c r="J468" s="106"/>
      <c r="K468" s="103"/>
      <c r="L468" s="124"/>
      <c r="M468" s="12" t="b">
        <f t="shared" si="26"/>
        <v>0</v>
      </c>
    </row>
    <row r="469" spans="2:13" ht="22.5">
      <c r="B469" s="26">
        <v>457</v>
      </c>
      <c r="C469" s="77"/>
      <c r="D469" s="69" t="str">
        <f t="shared" si="24"/>
        <v/>
      </c>
      <c r="E469" s="84"/>
      <c r="F469" s="126" t="str">
        <f t="shared" si="25"/>
        <v/>
      </c>
      <c r="G469" s="75"/>
      <c r="H469" s="106"/>
      <c r="I469" s="106"/>
      <c r="J469" s="106"/>
      <c r="K469" s="103"/>
      <c r="L469" s="124"/>
      <c r="M469" s="12" t="b">
        <f t="shared" si="26"/>
        <v>0</v>
      </c>
    </row>
    <row r="470" spans="2:13" ht="22.5">
      <c r="B470" s="26">
        <v>458</v>
      </c>
      <c r="C470" s="77"/>
      <c r="D470" s="69" t="str">
        <f t="shared" si="24"/>
        <v/>
      </c>
      <c r="E470" s="84"/>
      <c r="F470" s="126" t="str">
        <f t="shared" si="25"/>
        <v/>
      </c>
      <c r="G470" s="75"/>
      <c r="H470" s="106"/>
      <c r="I470" s="106"/>
      <c r="J470" s="106"/>
      <c r="K470" s="103"/>
      <c r="L470" s="124"/>
      <c r="M470" s="12" t="b">
        <f t="shared" si="26"/>
        <v>0</v>
      </c>
    </row>
    <row r="471" spans="2:13" ht="22.5">
      <c r="B471" s="26">
        <v>459</v>
      </c>
      <c r="C471" s="77"/>
      <c r="D471" s="69" t="str">
        <f t="shared" si="24"/>
        <v/>
      </c>
      <c r="E471" s="84"/>
      <c r="F471" s="126" t="str">
        <f t="shared" si="25"/>
        <v/>
      </c>
      <c r="G471" s="75"/>
      <c r="H471" s="106"/>
      <c r="I471" s="106"/>
      <c r="J471" s="106"/>
      <c r="K471" s="103"/>
      <c r="L471" s="124"/>
      <c r="M471" s="12" t="b">
        <f t="shared" si="26"/>
        <v>0</v>
      </c>
    </row>
    <row r="472" spans="2:13" ht="22.5">
      <c r="B472" s="26">
        <v>460</v>
      </c>
      <c r="C472" s="77"/>
      <c r="D472" s="69" t="str">
        <f t="shared" si="24"/>
        <v/>
      </c>
      <c r="E472" s="84"/>
      <c r="F472" s="126" t="str">
        <f t="shared" si="25"/>
        <v/>
      </c>
      <c r="G472" s="75"/>
      <c r="H472" s="106"/>
      <c r="I472" s="106"/>
      <c r="J472" s="106"/>
      <c r="K472" s="103"/>
      <c r="L472" s="124"/>
      <c r="M472" s="12" t="b">
        <f t="shared" si="26"/>
        <v>0</v>
      </c>
    </row>
    <row r="473" spans="2:13" ht="22.5">
      <c r="B473" s="26">
        <v>461</v>
      </c>
      <c r="C473" s="77"/>
      <c r="D473" s="69" t="str">
        <f t="shared" si="24"/>
        <v/>
      </c>
      <c r="E473" s="84"/>
      <c r="F473" s="126" t="str">
        <f t="shared" si="25"/>
        <v/>
      </c>
      <c r="G473" s="75"/>
      <c r="H473" s="106"/>
      <c r="I473" s="106"/>
      <c r="J473" s="106"/>
      <c r="K473" s="103"/>
      <c r="L473" s="124"/>
      <c r="M473" s="12" t="b">
        <f t="shared" si="26"/>
        <v>0</v>
      </c>
    </row>
    <row r="474" spans="2:13" ht="22.5">
      <c r="B474" s="26">
        <v>462</v>
      </c>
      <c r="C474" s="77"/>
      <c r="D474" s="69" t="str">
        <f t="shared" si="24"/>
        <v/>
      </c>
      <c r="E474" s="84"/>
      <c r="F474" s="126" t="str">
        <f t="shared" si="25"/>
        <v/>
      </c>
      <c r="G474" s="75"/>
      <c r="H474" s="106"/>
      <c r="I474" s="106"/>
      <c r="J474" s="106"/>
      <c r="K474" s="103"/>
      <c r="L474" s="124"/>
      <c r="M474" s="12" t="b">
        <f t="shared" si="26"/>
        <v>0</v>
      </c>
    </row>
    <row r="475" spans="2:13" ht="22.5">
      <c r="B475" s="26">
        <v>463</v>
      </c>
      <c r="C475" s="77"/>
      <c r="D475" s="69" t="str">
        <f t="shared" si="24"/>
        <v/>
      </c>
      <c r="E475" s="84"/>
      <c r="F475" s="126" t="str">
        <f t="shared" si="25"/>
        <v/>
      </c>
      <c r="G475" s="75"/>
      <c r="H475" s="106"/>
      <c r="I475" s="106"/>
      <c r="J475" s="106"/>
      <c r="K475" s="103"/>
      <c r="L475" s="124"/>
      <c r="M475" s="12" t="b">
        <f t="shared" si="26"/>
        <v>0</v>
      </c>
    </row>
    <row r="476" spans="2:13" ht="22.5">
      <c r="B476" s="26">
        <v>464</v>
      </c>
      <c r="C476" s="77"/>
      <c r="D476" s="69" t="str">
        <f t="shared" si="24"/>
        <v/>
      </c>
      <c r="E476" s="84"/>
      <c r="F476" s="126" t="str">
        <f t="shared" si="25"/>
        <v/>
      </c>
      <c r="G476" s="75"/>
      <c r="H476" s="106"/>
      <c r="I476" s="106"/>
      <c r="J476" s="106"/>
      <c r="K476" s="103"/>
      <c r="L476" s="124"/>
      <c r="M476" s="12" t="b">
        <f t="shared" si="26"/>
        <v>0</v>
      </c>
    </row>
    <row r="477" spans="2:13" ht="22.5">
      <c r="B477" s="26">
        <v>465</v>
      </c>
      <c r="C477" s="77"/>
      <c r="D477" s="69" t="str">
        <f t="shared" si="24"/>
        <v/>
      </c>
      <c r="E477" s="84"/>
      <c r="F477" s="126" t="str">
        <f t="shared" si="25"/>
        <v/>
      </c>
      <c r="G477" s="75"/>
      <c r="H477" s="106"/>
      <c r="I477" s="106"/>
      <c r="J477" s="106"/>
      <c r="K477" s="103"/>
      <c r="L477" s="124"/>
      <c r="M477" s="12" t="b">
        <f t="shared" si="26"/>
        <v>0</v>
      </c>
    </row>
    <row r="478" spans="2:13" ht="22.5">
      <c r="B478" s="26">
        <v>466</v>
      </c>
      <c r="C478" s="77"/>
      <c r="D478" s="69" t="str">
        <f t="shared" si="24"/>
        <v/>
      </c>
      <c r="E478" s="84"/>
      <c r="F478" s="126" t="str">
        <f t="shared" si="25"/>
        <v/>
      </c>
      <c r="G478" s="75"/>
      <c r="H478" s="106"/>
      <c r="I478" s="106"/>
      <c r="J478" s="106"/>
      <c r="K478" s="103"/>
      <c r="L478" s="124"/>
      <c r="M478" s="12" t="b">
        <f t="shared" si="26"/>
        <v>0</v>
      </c>
    </row>
    <row r="479" spans="2:13" ht="22.5">
      <c r="B479" s="26">
        <v>467</v>
      </c>
      <c r="C479" s="77"/>
      <c r="D479" s="69" t="str">
        <f t="shared" si="24"/>
        <v/>
      </c>
      <c r="E479" s="84"/>
      <c r="F479" s="126" t="str">
        <f t="shared" si="25"/>
        <v/>
      </c>
      <c r="G479" s="75"/>
      <c r="H479" s="106"/>
      <c r="I479" s="106"/>
      <c r="J479" s="106"/>
      <c r="K479" s="103"/>
      <c r="L479" s="124"/>
      <c r="M479" s="12" t="b">
        <f t="shared" si="26"/>
        <v>0</v>
      </c>
    </row>
    <row r="480" spans="2:13" ht="22.5">
      <c r="B480" s="26">
        <v>468</v>
      </c>
      <c r="C480" s="77"/>
      <c r="D480" s="69" t="str">
        <f t="shared" si="24"/>
        <v/>
      </c>
      <c r="E480" s="84"/>
      <c r="F480" s="126" t="str">
        <f t="shared" si="25"/>
        <v/>
      </c>
      <c r="G480" s="75"/>
      <c r="H480" s="106"/>
      <c r="I480" s="106"/>
      <c r="J480" s="106"/>
      <c r="K480" s="103"/>
      <c r="L480" s="124"/>
      <c r="M480" s="12" t="b">
        <f t="shared" si="26"/>
        <v>0</v>
      </c>
    </row>
    <row r="481" spans="2:13" ht="22.5">
      <c r="B481" s="26">
        <v>469</v>
      </c>
      <c r="C481" s="77"/>
      <c r="D481" s="69" t="str">
        <f t="shared" si="24"/>
        <v/>
      </c>
      <c r="E481" s="84"/>
      <c r="F481" s="126" t="str">
        <f t="shared" si="25"/>
        <v/>
      </c>
      <c r="G481" s="75"/>
      <c r="H481" s="106"/>
      <c r="I481" s="106"/>
      <c r="J481" s="106"/>
      <c r="K481" s="103"/>
      <c r="L481" s="124"/>
      <c r="M481" s="12" t="b">
        <f t="shared" si="26"/>
        <v>0</v>
      </c>
    </row>
    <row r="482" spans="2:13" ht="22.5">
      <c r="B482" s="26">
        <v>470</v>
      </c>
      <c r="C482" s="77"/>
      <c r="D482" s="69" t="str">
        <f t="shared" si="24"/>
        <v/>
      </c>
      <c r="E482" s="84"/>
      <c r="F482" s="126" t="str">
        <f t="shared" si="25"/>
        <v/>
      </c>
      <c r="G482" s="75"/>
      <c r="H482" s="106"/>
      <c r="I482" s="106"/>
      <c r="J482" s="106"/>
      <c r="K482" s="103"/>
      <c r="L482" s="124"/>
      <c r="M482" s="12" t="b">
        <f t="shared" si="26"/>
        <v>0</v>
      </c>
    </row>
    <row r="483" spans="2:13" ht="22.5">
      <c r="B483" s="26">
        <v>471</v>
      </c>
      <c r="C483" s="77"/>
      <c r="D483" s="69" t="str">
        <f t="shared" si="24"/>
        <v/>
      </c>
      <c r="E483" s="84"/>
      <c r="F483" s="126" t="str">
        <f t="shared" si="25"/>
        <v/>
      </c>
      <c r="G483" s="75"/>
      <c r="H483" s="106"/>
      <c r="I483" s="106"/>
      <c r="J483" s="106"/>
      <c r="K483" s="103"/>
      <c r="L483" s="124"/>
      <c r="M483" s="12" t="b">
        <f t="shared" si="26"/>
        <v>0</v>
      </c>
    </row>
    <row r="484" spans="2:13" ht="22.5">
      <c r="B484" s="26">
        <v>472</v>
      </c>
      <c r="C484" s="77"/>
      <c r="D484" s="69" t="str">
        <f t="shared" si="24"/>
        <v/>
      </c>
      <c r="E484" s="84"/>
      <c r="F484" s="126" t="str">
        <f t="shared" si="25"/>
        <v/>
      </c>
      <c r="G484" s="75"/>
      <c r="H484" s="106"/>
      <c r="I484" s="106"/>
      <c r="J484" s="106"/>
      <c r="K484" s="103"/>
      <c r="L484" s="124"/>
      <c r="M484" s="12" t="b">
        <f t="shared" si="26"/>
        <v>0</v>
      </c>
    </row>
    <row r="485" spans="2:13" ht="22.5">
      <c r="B485" s="26">
        <v>473</v>
      </c>
      <c r="C485" s="77"/>
      <c r="D485" s="69" t="str">
        <f t="shared" si="24"/>
        <v/>
      </c>
      <c r="E485" s="84"/>
      <c r="F485" s="126" t="str">
        <f t="shared" si="25"/>
        <v/>
      </c>
      <c r="G485" s="75"/>
      <c r="H485" s="106"/>
      <c r="I485" s="106"/>
      <c r="J485" s="106"/>
      <c r="K485" s="103"/>
      <c r="L485" s="124"/>
      <c r="M485" s="12" t="b">
        <f t="shared" si="26"/>
        <v>0</v>
      </c>
    </row>
    <row r="486" spans="2:13" ht="22.5">
      <c r="B486" s="26">
        <v>474</v>
      </c>
      <c r="C486" s="77"/>
      <c r="D486" s="69" t="str">
        <f t="shared" si="24"/>
        <v/>
      </c>
      <c r="E486" s="84"/>
      <c r="F486" s="126" t="str">
        <f t="shared" si="25"/>
        <v/>
      </c>
      <c r="G486" s="75"/>
      <c r="H486" s="106"/>
      <c r="I486" s="106"/>
      <c r="J486" s="106"/>
      <c r="K486" s="103"/>
      <c r="L486" s="124"/>
      <c r="M486" s="12" t="b">
        <f t="shared" si="26"/>
        <v>0</v>
      </c>
    </row>
    <row r="487" spans="2:13" ht="22.5">
      <c r="B487" s="26">
        <v>475</v>
      </c>
      <c r="C487" s="77"/>
      <c r="D487" s="69" t="str">
        <f t="shared" si="24"/>
        <v/>
      </c>
      <c r="E487" s="84"/>
      <c r="F487" s="126" t="str">
        <f t="shared" si="25"/>
        <v/>
      </c>
      <c r="G487" s="75"/>
      <c r="H487" s="106"/>
      <c r="I487" s="106"/>
      <c r="J487" s="106"/>
      <c r="K487" s="103"/>
      <c r="L487" s="124"/>
      <c r="M487" s="12" t="b">
        <f t="shared" si="26"/>
        <v>0</v>
      </c>
    </row>
    <row r="488" spans="2:13" ht="22.5">
      <c r="B488" s="26">
        <v>476</v>
      </c>
      <c r="C488" s="77"/>
      <c r="D488" s="69" t="str">
        <f t="shared" si="24"/>
        <v/>
      </c>
      <c r="E488" s="84"/>
      <c r="F488" s="126" t="str">
        <f t="shared" si="25"/>
        <v/>
      </c>
      <c r="G488" s="75"/>
      <c r="H488" s="106"/>
      <c r="I488" s="106"/>
      <c r="J488" s="106"/>
      <c r="K488" s="103"/>
      <c r="L488" s="124"/>
      <c r="M488" s="12" t="b">
        <f t="shared" si="26"/>
        <v>0</v>
      </c>
    </row>
    <row r="489" spans="2:13" ht="22.5">
      <c r="B489" s="26">
        <v>477</v>
      </c>
      <c r="C489" s="77"/>
      <c r="D489" s="69" t="str">
        <f t="shared" si="24"/>
        <v/>
      </c>
      <c r="E489" s="84"/>
      <c r="F489" s="126" t="str">
        <f t="shared" si="25"/>
        <v/>
      </c>
      <c r="G489" s="75"/>
      <c r="H489" s="106"/>
      <c r="I489" s="106"/>
      <c r="J489" s="106"/>
      <c r="K489" s="103"/>
      <c r="L489" s="124"/>
      <c r="M489" s="12" t="b">
        <f t="shared" si="26"/>
        <v>0</v>
      </c>
    </row>
    <row r="490" spans="2:13" ht="22.5">
      <c r="B490" s="26">
        <v>478</v>
      </c>
      <c r="C490" s="77"/>
      <c r="D490" s="69" t="str">
        <f t="shared" si="24"/>
        <v/>
      </c>
      <c r="E490" s="84"/>
      <c r="F490" s="126" t="str">
        <f t="shared" si="25"/>
        <v/>
      </c>
      <c r="G490" s="75"/>
      <c r="H490" s="106"/>
      <c r="I490" s="106"/>
      <c r="J490" s="106"/>
      <c r="K490" s="103"/>
      <c r="L490" s="124"/>
      <c r="M490" s="12" t="b">
        <f t="shared" si="26"/>
        <v>0</v>
      </c>
    </row>
    <row r="491" spans="2:13" ht="22.5">
      <c r="B491" s="26">
        <v>479</v>
      </c>
      <c r="C491" s="77"/>
      <c r="D491" s="69" t="str">
        <f t="shared" si="24"/>
        <v/>
      </c>
      <c r="E491" s="84"/>
      <c r="F491" s="126" t="str">
        <f t="shared" si="25"/>
        <v/>
      </c>
      <c r="G491" s="75"/>
      <c r="H491" s="106"/>
      <c r="I491" s="106"/>
      <c r="J491" s="106"/>
      <c r="K491" s="103"/>
      <c r="L491" s="124"/>
      <c r="M491" s="12" t="b">
        <f t="shared" si="26"/>
        <v>0</v>
      </c>
    </row>
    <row r="492" spans="2:13" ht="22.5">
      <c r="B492" s="26">
        <v>480</v>
      </c>
      <c r="C492" s="77"/>
      <c r="D492" s="69" t="str">
        <f t="shared" si="24"/>
        <v/>
      </c>
      <c r="E492" s="84"/>
      <c r="F492" s="126" t="str">
        <f t="shared" si="25"/>
        <v/>
      </c>
      <c r="G492" s="75"/>
      <c r="H492" s="106"/>
      <c r="I492" s="106"/>
      <c r="J492" s="106"/>
      <c r="K492" s="103"/>
      <c r="L492" s="124"/>
      <c r="M492" s="12" t="b">
        <f t="shared" si="26"/>
        <v>0</v>
      </c>
    </row>
    <row r="493" spans="2:13" ht="22.5">
      <c r="B493" s="26">
        <v>481</v>
      </c>
      <c r="C493" s="77"/>
      <c r="D493" s="69" t="str">
        <f t="shared" si="24"/>
        <v/>
      </c>
      <c r="E493" s="84"/>
      <c r="F493" s="126" t="str">
        <f t="shared" si="25"/>
        <v/>
      </c>
      <c r="G493" s="75"/>
      <c r="H493" s="106"/>
      <c r="I493" s="106"/>
      <c r="J493" s="106"/>
      <c r="K493" s="103"/>
      <c r="L493" s="124"/>
      <c r="M493" s="12" t="b">
        <f t="shared" si="26"/>
        <v>0</v>
      </c>
    </row>
    <row r="494" spans="2:13" ht="22.5">
      <c r="B494" s="26">
        <v>482</v>
      </c>
      <c r="C494" s="77"/>
      <c r="D494" s="69" t="str">
        <f t="shared" si="24"/>
        <v/>
      </c>
      <c r="E494" s="84"/>
      <c r="F494" s="126" t="str">
        <f t="shared" si="25"/>
        <v/>
      </c>
      <c r="G494" s="75"/>
      <c r="H494" s="106"/>
      <c r="I494" s="106"/>
      <c r="J494" s="106"/>
      <c r="K494" s="103"/>
      <c r="L494" s="124"/>
      <c r="M494" s="12" t="b">
        <f t="shared" si="26"/>
        <v>0</v>
      </c>
    </row>
    <row r="495" spans="2:13" ht="22.5">
      <c r="B495" s="26">
        <v>483</v>
      </c>
      <c r="C495" s="77"/>
      <c r="D495" s="69" t="str">
        <f t="shared" si="24"/>
        <v/>
      </c>
      <c r="E495" s="84"/>
      <c r="F495" s="126" t="str">
        <f t="shared" si="25"/>
        <v/>
      </c>
      <c r="G495" s="75"/>
      <c r="H495" s="106"/>
      <c r="I495" s="106"/>
      <c r="J495" s="106"/>
      <c r="K495" s="103"/>
      <c r="L495" s="124"/>
      <c r="M495" s="12" t="b">
        <f t="shared" si="26"/>
        <v>0</v>
      </c>
    </row>
    <row r="496" spans="2:13" ht="22.5">
      <c r="B496" s="26">
        <v>484</v>
      </c>
      <c r="C496" s="77"/>
      <c r="D496" s="69" t="str">
        <f t="shared" si="24"/>
        <v/>
      </c>
      <c r="E496" s="84"/>
      <c r="F496" s="126" t="str">
        <f t="shared" si="25"/>
        <v/>
      </c>
      <c r="G496" s="75"/>
      <c r="H496" s="106"/>
      <c r="I496" s="106"/>
      <c r="J496" s="106"/>
      <c r="K496" s="103"/>
      <c r="L496" s="124"/>
      <c r="M496" s="12" t="b">
        <f t="shared" si="26"/>
        <v>0</v>
      </c>
    </row>
    <row r="497" spans="2:13" ht="22.5">
      <c r="B497" s="26">
        <v>485</v>
      </c>
      <c r="C497" s="77"/>
      <c r="D497" s="69" t="str">
        <f t="shared" si="24"/>
        <v/>
      </c>
      <c r="E497" s="84"/>
      <c r="F497" s="126" t="str">
        <f t="shared" si="25"/>
        <v/>
      </c>
      <c r="G497" s="75"/>
      <c r="H497" s="106"/>
      <c r="I497" s="106"/>
      <c r="J497" s="106"/>
      <c r="K497" s="103"/>
      <c r="L497" s="124"/>
      <c r="M497" s="12" t="b">
        <f t="shared" si="26"/>
        <v>0</v>
      </c>
    </row>
    <row r="498" spans="2:13" ht="22.5">
      <c r="B498" s="26">
        <v>486</v>
      </c>
      <c r="C498" s="77"/>
      <c r="D498" s="69" t="str">
        <f t="shared" si="24"/>
        <v/>
      </c>
      <c r="E498" s="84"/>
      <c r="F498" s="126" t="str">
        <f t="shared" si="25"/>
        <v/>
      </c>
      <c r="G498" s="75"/>
      <c r="H498" s="106"/>
      <c r="I498" s="106"/>
      <c r="J498" s="106"/>
      <c r="K498" s="103"/>
      <c r="L498" s="124"/>
      <c r="M498" s="12" t="b">
        <f t="shared" si="26"/>
        <v>0</v>
      </c>
    </row>
    <row r="499" spans="2:13" ht="22.5">
      <c r="B499" s="26">
        <v>487</v>
      </c>
      <c r="C499" s="77"/>
      <c r="D499" s="69" t="str">
        <f t="shared" si="24"/>
        <v/>
      </c>
      <c r="E499" s="84"/>
      <c r="F499" s="126" t="str">
        <f t="shared" si="25"/>
        <v/>
      </c>
      <c r="G499" s="75"/>
      <c r="H499" s="106"/>
      <c r="I499" s="106"/>
      <c r="J499" s="106"/>
      <c r="K499" s="103"/>
      <c r="L499" s="124"/>
      <c r="M499" s="12" t="b">
        <f t="shared" si="26"/>
        <v>0</v>
      </c>
    </row>
    <row r="500" spans="2:13" ht="22.5">
      <c r="B500" s="26">
        <v>488</v>
      </c>
      <c r="C500" s="77"/>
      <c r="D500" s="69" t="str">
        <f t="shared" si="24"/>
        <v/>
      </c>
      <c r="E500" s="84"/>
      <c r="F500" s="126" t="str">
        <f t="shared" si="25"/>
        <v/>
      </c>
      <c r="G500" s="75"/>
      <c r="H500" s="106"/>
      <c r="I500" s="106"/>
      <c r="J500" s="106"/>
      <c r="K500" s="103"/>
      <c r="L500" s="124"/>
      <c r="M500" s="12" t="b">
        <f t="shared" si="26"/>
        <v>0</v>
      </c>
    </row>
    <row r="501" spans="2:13" ht="22.5">
      <c r="B501" s="26">
        <v>489</v>
      </c>
      <c r="C501" s="77"/>
      <c r="D501" s="69" t="str">
        <f t="shared" si="24"/>
        <v/>
      </c>
      <c r="E501" s="84"/>
      <c r="F501" s="126" t="str">
        <f t="shared" si="25"/>
        <v/>
      </c>
      <c r="G501" s="75"/>
      <c r="H501" s="106"/>
      <c r="I501" s="106"/>
      <c r="J501" s="106"/>
      <c r="K501" s="103"/>
      <c r="L501" s="124"/>
      <c r="M501" s="12" t="b">
        <f t="shared" si="26"/>
        <v>0</v>
      </c>
    </row>
    <row r="502" spans="2:13" ht="22.5">
      <c r="B502" s="26">
        <v>490</v>
      </c>
      <c r="C502" s="77"/>
      <c r="D502" s="69" t="str">
        <f t="shared" si="24"/>
        <v/>
      </c>
      <c r="E502" s="84"/>
      <c r="F502" s="126" t="str">
        <f t="shared" si="25"/>
        <v/>
      </c>
      <c r="G502" s="75"/>
      <c r="H502" s="106"/>
      <c r="I502" s="106"/>
      <c r="J502" s="106"/>
      <c r="K502" s="103"/>
      <c r="L502" s="124"/>
      <c r="M502" s="12" t="b">
        <f t="shared" si="26"/>
        <v>0</v>
      </c>
    </row>
    <row r="503" spans="2:13" ht="22.5">
      <c r="B503" s="26">
        <v>491</v>
      </c>
      <c r="C503" s="77"/>
      <c r="D503" s="69" t="str">
        <f t="shared" si="24"/>
        <v/>
      </c>
      <c r="E503" s="84"/>
      <c r="F503" s="126" t="str">
        <f t="shared" si="25"/>
        <v/>
      </c>
      <c r="G503" s="75"/>
      <c r="H503" s="106"/>
      <c r="I503" s="106"/>
      <c r="J503" s="106"/>
      <c r="K503" s="103"/>
      <c r="L503" s="124"/>
      <c r="M503" s="12" t="b">
        <f t="shared" si="26"/>
        <v>0</v>
      </c>
    </row>
    <row r="504" spans="2:13" ht="22.5">
      <c r="B504" s="26">
        <v>492</v>
      </c>
      <c r="C504" s="77"/>
      <c r="D504" s="69" t="str">
        <f t="shared" si="24"/>
        <v/>
      </c>
      <c r="E504" s="84"/>
      <c r="F504" s="126" t="str">
        <f t="shared" si="25"/>
        <v/>
      </c>
      <c r="G504" s="75"/>
      <c r="H504" s="106"/>
      <c r="I504" s="106"/>
      <c r="J504" s="106"/>
      <c r="K504" s="103"/>
      <c r="L504" s="124"/>
      <c r="M504" s="12" t="b">
        <f t="shared" si="26"/>
        <v>0</v>
      </c>
    </row>
    <row r="505" spans="2:13" ht="22.5">
      <c r="B505" s="26">
        <v>493</v>
      </c>
      <c r="C505" s="77"/>
      <c r="D505" s="69" t="str">
        <f t="shared" si="24"/>
        <v/>
      </c>
      <c r="E505" s="84"/>
      <c r="F505" s="126" t="str">
        <f t="shared" si="25"/>
        <v/>
      </c>
      <c r="G505" s="75"/>
      <c r="H505" s="106"/>
      <c r="I505" s="106"/>
      <c r="J505" s="106"/>
      <c r="K505" s="103"/>
      <c r="L505" s="124"/>
      <c r="M505" s="12" t="b">
        <f t="shared" si="26"/>
        <v>0</v>
      </c>
    </row>
    <row r="506" spans="2:13" ht="22.5">
      <c r="B506" s="26">
        <v>494</v>
      </c>
      <c r="C506" s="77"/>
      <c r="D506" s="69" t="str">
        <f t="shared" si="24"/>
        <v/>
      </c>
      <c r="E506" s="84"/>
      <c r="F506" s="126" t="str">
        <f t="shared" si="25"/>
        <v/>
      </c>
      <c r="G506" s="75"/>
      <c r="H506" s="106"/>
      <c r="I506" s="106"/>
      <c r="J506" s="106"/>
      <c r="K506" s="103"/>
      <c r="L506" s="124"/>
      <c r="M506" s="12" t="b">
        <f t="shared" si="26"/>
        <v>0</v>
      </c>
    </row>
    <row r="507" spans="2:13" ht="22.5">
      <c r="B507" s="26">
        <v>495</v>
      </c>
      <c r="C507" s="77"/>
      <c r="D507" s="69" t="str">
        <f t="shared" si="24"/>
        <v/>
      </c>
      <c r="E507" s="84"/>
      <c r="F507" s="126" t="str">
        <f t="shared" si="25"/>
        <v/>
      </c>
      <c r="G507" s="75"/>
      <c r="H507" s="106"/>
      <c r="I507" s="106"/>
      <c r="J507" s="106"/>
      <c r="K507" s="103"/>
      <c r="L507" s="124"/>
      <c r="M507" s="12" t="b">
        <f t="shared" si="26"/>
        <v>0</v>
      </c>
    </row>
    <row r="508" spans="2:13" ht="22.5">
      <c r="B508" s="26">
        <v>496</v>
      </c>
      <c r="C508" s="77"/>
      <c r="D508" s="69" t="str">
        <f t="shared" si="24"/>
        <v/>
      </c>
      <c r="E508" s="84"/>
      <c r="F508" s="126" t="str">
        <f t="shared" si="25"/>
        <v/>
      </c>
      <c r="G508" s="75"/>
      <c r="H508" s="106"/>
      <c r="I508" s="106"/>
      <c r="J508" s="106"/>
      <c r="K508" s="103"/>
      <c r="L508" s="124"/>
      <c r="M508" s="12" t="b">
        <f t="shared" si="26"/>
        <v>0</v>
      </c>
    </row>
    <row r="509" spans="2:13" ht="22.5">
      <c r="B509" s="26">
        <v>497</v>
      </c>
      <c r="C509" s="77"/>
      <c r="D509" s="69" t="str">
        <f t="shared" si="24"/>
        <v/>
      </c>
      <c r="E509" s="84"/>
      <c r="F509" s="126" t="str">
        <f t="shared" si="25"/>
        <v/>
      </c>
      <c r="G509" s="75"/>
      <c r="H509" s="106"/>
      <c r="I509" s="106"/>
      <c r="J509" s="106"/>
      <c r="K509" s="103"/>
      <c r="L509" s="124"/>
      <c r="M509" s="12" t="b">
        <f t="shared" si="26"/>
        <v>0</v>
      </c>
    </row>
    <row r="510" spans="2:13" ht="22.5">
      <c r="B510" s="26">
        <v>498</v>
      </c>
      <c r="C510" s="77"/>
      <c r="D510" s="69" t="str">
        <f t="shared" si="24"/>
        <v/>
      </c>
      <c r="E510" s="84"/>
      <c r="F510" s="126" t="str">
        <f t="shared" si="25"/>
        <v/>
      </c>
      <c r="G510" s="75"/>
      <c r="H510" s="106"/>
      <c r="I510" s="106"/>
      <c r="J510" s="106"/>
      <c r="K510" s="103"/>
      <c r="L510" s="124"/>
      <c r="M510" s="12" t="b">
        <f t="shared" si="26"/>
        <v>0</v>
      </c>
    </row>
    <row r="511" spans="2:13" ht="22.5">
      <c r="B511" s="26">
        <v>499</v>
      </c>
      <c r="C511" s="77"/>
      <c r="D511" s="69" t="str">
        <f t="shared" si="24"/>
        <v/>
      </c>
      <c r="E511" s="84"/>
      <c r="F511" s="126" t="str">
        <f t="shared" si="25"/>
        <v/>
      </c>
      <c r="G511" s="75"/>
      <c r="H511" s="106"/>
      <c r="I511" s="106"/>
      <c r="J511" s="106"/>
      <c r="K511" s="103"/>
      <c r="L511" s="124"/>
      <c r="M511" s="12" t="b">
        <f t="shared" si="26"/>
        <v>0</v>
      </c>
    </row>
    <row r="512" spans="2:13" ht="23.25" thickBot="1">
      <c r="B512" s="27">
        <v>500</v>
      </c>
      <c r="C512" s="78"/>
      <c r="D512" s="69" t="str">
        <f t="shared" si="24"/>
        <v/>
      </c>
      <c r="E512" s="87"/>
      <c r="F512" s="127" t="str">
        <f t="shared" si="25"/>
        <v/>
      </c>
      <c r="G512" s="76"/>
      <c r="H512" s="108"/>
      <c r="I512" s="108"/>
      <c r="J512" s="108"/>
      <c r="K512" s="109"/>
      <c r="L512" s="125"/>
      <c r="M512" s="12" t="b">
        <f t="shared" si="26"/>
        <v>0</v>
      </c>
    </row>
  </sheetData>
  <sheetProtection algorithmName="SHA-512" hashValue="Xk96U2jAxxgtDZRVZ37+VgKPIJyRzvk/9P1g9lnVPyrK1e8aOORUp58fIQU7h8Zji2KQhB6LbwBcpdjBqs2JPg==" saltValue="qqsSNA1xnPUxJWjn1RBfnQ==" spinCount="100000" sheet="1" objects="1" scenarios="1" selectLockedCells="1"/>
  <mergeCells count="7">
    <mergeCell ref="E2:Q2"/>
    <mergeCell ref="E4:Q4"/>
    <mergeCell ref="K8:L8"/>
    <mergeCell ref="H8:I8"/>
    <mergeCell ref="H9:I9"/>
    <mergeCell ref="H7:L7"/>
    <mergeCell ref="C7:G7"/>
  </mergeCells>
  <phoneticPr fontId="1"/>
  <conditionalFormatting sqref="E13:E512">
    <cfRule type="expression" dxfId="21" priority="3">
      <formula>$D13=FALSE</formula>
    </cfRule>
  </conditionalFormatting>
  <conditionalFormatting sqref="F13:F512">
    <cfRule type="expression" dxfId="20" priority="1">
      <formula>D13=FALSE</formula>
    </cfRule>
  </conditionalFormatting>
  <conditionalFormatting sqref="G13:G512">
    <cfRule type="expression" dxfId="19" priority="24" stopIfTrue="1">
      <formula>ISNUMBER($D13)</formula>
    </cfRule>
  </conditionalFormatting>
  <conditionalFormatting sqref="H13:H512">
    <cfRule type="expression" dxfId="18" priority="31">
      <formula>AND($D13=1,$H13="")</formula>
    </cfRule>
  </conditionalFormatting>
  <conditionalFormatting sqref="H13:J512">
    <cfRule type="expression" dxfId="17" priority="9">
      <formula>$D13&lt;&gt;1</formula>
    </cfRule>
  </conditionalFormatting>
  <conditionalFormatting sqref="I13:I512">
    <cfRule type="expression" dxfId="16" priority="36">
      <formula>AND(($H13="既存コードに追加"),($I13=""))</formula>
    </cfRule>
    <cfRule type="expression" dxfId="15" priority="37">
      <formula>$H13="新規払い出し"</formula>
    </cfRule>
  </conditionalFormatting>
  <conditionalFormatting sqref="J13:J512">
    <cfRule type="expression" dxfId="14" priority="42">
      <formula>AND($D13=1,$J13="")</formula>
    </cfRule>
  </conditionalFormatting>
  <conditionalFormatting sqref="K13:K512">
    <cfRule type="expression" dxfId="13" priority="44">
      <formula>AND(($D13=2),($K13=""))</formula>
    </cfRule>
  </conditionalFormatting>
  <conditionalFormatting sqref="K13:L512">
    <cfRule type="expression" dxfId="12" priority="4">
      <formula>$D13&lt;&gt;2</formula>
    </cfRule>
  </conditionalFormatting>
  <conditionalFormatting sqref="L13:L512">
    <cfRule type="expression" dxfId="11" priority="47">
      <formula>AND(($K13="あり"),($L13=""))</formula>
    </cfRule>
    <cfRule type="expression" dxfId="10" priority="48">
      <formula>$K13="なし"</formula>
    </cfRule>
  </conditionalFormatting>
  <dataValidations count="9">
    <dataValidation type="list" allowBlank="1" showInputMessage="1" showErrorMessage="1" sqref="J10:J512" xr:uid="{4C64113C-A955-4ECC-A125-A4A9C661A487}">
      <formula1>"希望する,希望しない"</formula1>
    </dataValidation>
    <dataValidation type="list" allowBlank="1" showInputMessage="1" showErrorMessage="1" sqref="K10:K512" xr:uid="{C47D98E4-1A4C-47FB-B441-98A75D37CFF5}">
      <formula1>"あり,なし"</formula1>
    </dataValidation>
    <dataValidation type="list" allowBlank="1" showInputMessage="1" showErrorMessage="1" errorTitle="エラー" error="1,2,3から選択ください" sqref="D10:D12" xr:uid="{DDE2B2E7-13A2-427B-AFAD-E3DBC5662D64}">
      <formula1>"1,2,3"</formula1>
    </dataValidation>
    <dataValidation type="list" allowBlank="1" showInputMessage="1" showErrorMessage="1" sqref="C10:C512" xr:uid="{EF927339-ECE6-4806-966C-237205BF706D}">
      <formula1>"追加,削除"</formula1>
    </dataValidation>
    <dataValidation type="list" allowBlank="1" showInputMessage="1" showErrorMessage="1" sqref="H10:H512" xr:uid="{7AF5BF3C-7705-4595-A74B-583ED46E7E81}">
      <formula1>"新規払い出し,既存コードに追加"</formula1>
    </dataValidation>
    <dataValidation imeMode="disabled" allowBlank="1" showInputMessage="1" showErrorMessage="1" sqref="G13:G512" xr:uid="{D63EC0CE-7C8E-41F0-A451-44A93D5AFEFF}"/>
    <dataValidation type="textLength" imeMode="disabled" operator="equal" allowBlank="1" showInputMessage="1" showErrorMessage="1" error="会社コードは５桁で入力ください" sqref="I13:I512" xr:uid="{6DCABDFE-D4A2-46E0-BA29-E6F545481FE7}">
      <formula1>5</formula1>
    </dataValidation>
    <dataValidation type="textLength" imeMode="disabled" allowBlank="1" showInputMessage="1" showErrorMessage="1" errorTitle="桁数をご確認ください" error="ご請求番号をハイフン無しで入力ください" sqref="E13:E512" xr:uid="{9E4E8417-5805-4E3B-92AB-B26115952909}">
      <formula1>10</formula1>
      <formula2>12</formula2>
    </dataValidation>
    <dataValidation type="custom" imeMode="disabled" allowBlank="1" showInputMessage="1" showErrorMessage="1" error="分割番号は2桁で入力ください" sqref="L13:L512" xr:uid="{AC194723-FE63-4FDF-88E8-BED64923ADA8}">
      <formula1>LEN(L13)=2</formula1>
    </dataValidation>
  </dataValidations>
  <hyperlinks>
    <hyperlink ref="E5" r:id="rId1" xr:uid="{56667DC0-DE79-4827-91EB-E525A8E01194}"/>
  </hyperlinks>
  <pageMargins left="0.7" right="0.7" top="0.75" bottom="0.75" header="0.3" footer="0.3"/>
  <pageSetup paperSize="9" scale="59" orientation="portrait" r:id="rId2"/>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0FE15-2432-4084-B055-2508AA1DFCE0}">
  <sheetPr>
    <tabColor theme="0"/>
    <pageSetUpPr fitToPage="1"/>
  </sheetPr>
  <dimension ref="A1:AJ49"/>
  <sheetViews>
    <sheetView showGridLines="0" zoomScale="80" zoomScaleNormal="80" zoomScaleSheetLayoutView="90" workbookViewId="0">
      <selection activeCell="K10" sqref="K10:AE10"/>
    </sheetView>
  </sheetViews>
  <sheetFormatPr defaultColWidth="9" defaultRowHeight="13.5"/>
  <cols>
    <col min="1" max="4" width="6.125" style="30" customWidth="1"/>
    <col min="5" max="10" width="4.625" style="30" customWidth="1"/>
    <col min="11" max="12" width="3.125" style="30" customWidth="1"/>
    <col min="13" max="18" width="3.375" style="30" customWidth="1"/>
    <col min="19" max="28" width="3.125" style="30" customWidth="1"/>
    <col min="29" max="34" width="6.125" style="30" customWidth="1"/>
    <col min="35" max="35" width="8.375" style="30" customWidth="1"/>
    <col min="36" max="36" width="6.125" style="30" customWidth="1"/>
    <col min="37" max="57" width="3.625" style="30" customWidth="1"/>
    <col min="58" max="16384" width="9" style="30"/>
  </cols>
  <sheetData>
    <row r="1" spans="1:36" ht="13.5" customHeight="1">
      <c r="A1" s="141"/>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row>
    <row r="2" spans="1:36" ht="13.5" customHeight="1">
      <c r="A2" s="141"/>
      <c r="B2" s="141"/>
      <c r="C2" s="141"/>
      <c r="D2" s="141"/>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row>
    <row r="3" spans="1:36" ht="13.5" customHeight="1">
      <c r="A3" s="31"/>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6" ht="13.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row>
    <row r="5" spans="1:36" ht="19.899999999999999" customHeight="1">
      <c r="A5" s="31"/>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139" t="s">
        <v>0</v>
      </c>
      <c r="AG5" s="140"/>
      <c r="AH5" s="32" t="s">
        <v>1</v>
      </c>
      <c r="AI5" s="33">
        <v>2.1</v>
      </c>
    </row>
    <row r="6" spans="1:36" ht="43.15" customHeight="1">
      <c r="A6" s="147" t="s">
        <v>220</v>
      </c>
      <c r="B6" s="147"/>
      <c r="C6" s="147"/>
      <c r="D6" s="147"/>
      <c r="E6" s="147"/>
      <c r="F6" s="147"/>
      <c r="G6" s="147"/>
      <c r="H6" s="147"/>
      <c r="I6" s="147"/>
      <c r="J6" s="147"/>
      <c r="K6" s="147"/>
      <c r="L6" s="147"/>
      <c r="M6" s="147"/>
      <c r="N6" s="147"/>
      <c r="O6" s="147"/>
      <c r="P6" s="147"/>
      <c r="Q6" s="147"/>
      <c r="R6" s="147"/>
      <c r="S6" s="147"/>
      <c r="T6" s="147"/>
      <c r="U6" s="147"/>
      <c r="V6" s="147"/>
      <c r="W6" s="147"/>
      <c r="X6" s="147"/>
      <c r="Y6" s="147"/>
      <c r="Z6" s="147"/>
      <c r="AA6" s="147"/>
      <c r="AB6" s="147"/>
      <c r="AC6" s="147"/>
      <c r="AD6" s="147"/>
      <c r="AE6" s="34"/>
      <c r="AF6" s="34"/>
      <c r="AG6" s="34"/>
      <c r="AJ6" s="34"/>
    </row>
    <row r="7" spans="1:36">
      <c r="A7" s="35"/>
    </row>
    <row r="8" spans="1:36">
      <c r="A8" s="35"/>
    </row>
    <row r="9" spans="1:36" ht="21" customHeight="1" thickBot="1">
      <c r="A9" s="36" t="s">
        <v>2</v>
      </c>
    </row>
    <row r="10" spans="1:36" ht="44.45" customHeight="1">
      <c r="A10" s="169" t="s">
        <v>77</v>
      </c>
      <c r="B10" s="170"/>
      <c r="C10" s="170"/>
      <c r="D10" s="170"/>
      <c r="E10" s="170"/>
      <c r="F10" s="170"/>
      <c r="G10" s="170"/>
      <c r="H10" s="170"/>
      <c r="I10" s="170"/>
      <c r="J10" s="171"/>
      <c r="K10" s="160">
        <v>45082</v>
      </c>
      <c r="L10" s="161"/>
      <c r="M10" s="161"/>
      <c r="N10" s="161"/>
      <c r="O10" s="161"/>
      <c r="P10" s="161"/>
      <c r="Q10" s="161"/>
      <c r="R10" s="161"/>
      <c r="S10" s="161"/>
      <c r="T10" s="161"/>
      <c r="U10" s="161"/>
      <c r="V10" s="161"/>
      <c r="W10" s="161"/>
      <c r="X10" s="161"/>
      <c r="Y10" s="161"/>
      <c r="Z10" s="161"/>
      <c r="AA10" s="161"/>
      <c r="AB10" s="161"/>
      <c r="AC10" s="161"/>
      <c r="AD10" s="161"/>
      <c r="AE10" s="162"/>
      <c r="AF10" s="148" t="s">
        <v>4</v>
      </c>
      <c r="AG10" s="149"/>
      <c r="AH10" s="149"/>
      <c r="AI10" s="149"/>
      <c r="AJ10" s="150"/>
    </row>
    <row r="11" spans="1:36" ht="44.45" customHeight="1">
      <c r="A11" s="178" t="s">
        <v>5</v>
      </c>
      <c r="B11" s="179"/>
      <c r="C11" s="179"/>
      <c r="D11" s="180"/>
      <c r="E11" s="167" t="s">
        <v>6</v>
      </c>
      <c r="F11" s="168"/>
      <c r="G11" s="168"/>
      <c r="H11" s="168"/>
      <c r="I11" s="168"/>
      <c r="J11" s="168"/>
      <c r="K11" s="281">
        <v>9999333</v>
      </c>
      <c r="L11" s="281"/>
      <c r="M11" s="281"/>
      <c r="N11" s="281"/>
      <c r="O11" s="281"/>
      <c r="P11" s="281"/>
      <c r="Q11" s="281"/>
      <c r="R11" s="281"/>
      <c r="S11" s="281"/>
      <c r="T11" s="281"/>
      <c r="U11" s="281"/>
      <c r="V11" s="281"/>
      <c r="W11" s="281"/>
      <c r="X11" s="281"/>
      <c r="Y11" s="281"/>
      <c r="Z11" s="281"/>
      <c r="AA11" s="281"/>
      <c r="AB11" s="281"/>
      <c r="AC11" s="281"/>
      <c r="AD11" s="281"/>
      <c r="AE11" s="282"/>
      <c r="AF11" s="157" t="s">
        <v>7</v>
      </c>
      <c r="AG11" s="158"/>
      <c r="AH11" s="158"/>
      <c r="AI11" s="158"/>
      <c r="AJ11" s="159"/>
    </row>
    <row r="12" spans="1:36" ht="22.15" customHeight="1">
      <c r="A12" s="142" t="s">
        <v>8</v>
      </c>
      <c r="B12" s="143"/>
      <c r="C12" s="143"/>
      <c r="D12" s="144"/>
      <c r="E12" s="37" t="s">
        <v>9</v>
      </c>
      <c r="F12" s="38"/>
      <c r="G12" s="38"/>
      <c r="H12" s="38"/>
      <c r="I12" s="38"/>
      <c r="J12" s="39"/>
      <c r="K12" s="263" t="s">
        <v>78</v>
      </c>
      <c r="L12" s="264"/>
      <c r="M12" s="264"/>
      <c r="N12" s="264"/>
      <c r="O12" s="264"/>
      <c r="P12" s="264"/>
      <c r="Q12" s="264"/>
      <c r="R12" s="264"/>
      <c r="S12" s="264"/>
      <c r="T12" s="264"/>
      <c r="U12" s="264"/>
      <c r="V12" s="264"/>
      <c r="W12" s="264"/>
      <c r="X12" s="264"/>
      <c r="Y12" s="264"/>
      <c r="Z12" s="264"/>
      <c r="AA12" s="264"/>
      <c r="AB12" s="264"/>
      <c r="AC12" s="283"/>
      <c r="AD12" s="40" t="s">
        <v>10</v>
      </c>
      <c r="AE12" s="41"/>
      <c r="AF12" s="151" t="s">
        <v>11</v>
      </c>
      <c r="AG12" s="152"/>
      <c r="AH12" s="152"/>
      <c r="AI12" s="152"/>
      <c r="AJ12" s="153"/>
    </row>
    <row r="13" spans="1:36" ht="40.15" customHeight="1">
      <c r="A13" s="145"/>
      <c r="B13" s="146"/>
      <c r="C13" s="146"/>
      <c r="D13" s="146"/>
      <c r="E13" s="42"/>
      <c r="F13" s="42"/>
      <c r="G13" s="42"/>
      <c r="H13" s="42"/>
      <c r="I13" s="42"/>
      <c r="J13" s="43"/>
      <c r="K13" s="284" t="s">
        <v>79</v>
      </c>
      <c r="L13" s="285"/>
      <c r="M13" s="285"/>
      <c r="N13" s="285"/>
      <c r="O13" s="285"/>
      <c r="P13" s="285"/>
      <c r="Q13" s="285"/>
      <c r="R13" s="285"/>
      <c r="S13" s="285"/>
      <c r="T13" s="285"/>
      <c r="U13" s="285"/>
      <c r="V13" s="285"/>
      <c r="W13" s="285"/>
      <c r="X13" s="285"/>
      <c r="Y13" s="285"/>
      <c r="Z13" s="285"/>
      <c r="AA13" s="285"/>
      <c r="AB13" s="285"/>
      <c r="AC13" s="286"/>
      <c r="AD13" s="165"/>
      <c r="AE13" s="166"/>
      <c r="AF13" s="154"/>
      <c r="AG13" s="155"/>
      <c r="AH13" s="155"/>
      <c r="AI13" s="155"/>
      <c r="AJ13" s="156"/>
    </row>
    <row r="14" spans="1:36" ht="27.6" customHeight="1">
      <c r="A14" s="228" t="s">
        <v>12</v>
      </c>
      <c r="B14" s="229"/>
      <c r="C14" s="229"/>
      <c r="D14" s="229"/>
      <c r="E14" s="229"/>
      <c r="F14" s="229"/>
      <c r="G14" s="229"/>
      <c r="H14" s="229"/>
      <c r="I14" s="230"/>
      <c r="J14" s="79" t="s">
        <v>13</v>
      </c>
      <c r="K14" s="176" t="s">
        <v>80</v>
      </c>
      <c r="L14" s="176"/>
      <c r="M14" s="176"/>
      <c r="N14" s="176"/>
      <c r="O14" s="176"/>
      <c r="P14" s="176"/>
      <c r="Q14" s="176"/>
      <c r="R14" s="176"/>
      <c r="S14" s="176"/>
      <c r="T14" s="176"/>
      <c r="U14" s="176"/>
      <c r="V14" s="176"/>
      <c r="W14" s="176"/>
      <c r="X14" s="176"/>
      <c r="Y14" s="176"/>
      <c r="Z14" s="176"/>
      <c r="AA14" s="176"/>
      <c r="AB14" s="176"/>
      <c r="AC14" s="176"/>
      <c r="AD14" s="176"/>
      <c r="AE14" s="177"/>
      <c r="AF14" s="181" t="s">
        <v>81</v>
      </c>
      <c r="AG14" s="182"/>
      <c r="AH14" s="182"/>
      <c r="AI14" s="182"/>
      <c r="AJ14" s="183"/>
    </row>
    <row r="15" spans="1:36" ht="34.9" hidden="1" customHeight="1">
      <c r="B15" s="44"/>
      <c r="C15" s="44"/>
      <c r="D15" s="45"/>
      <c r="E15" s="40"/>
      <c r="F15" s="46"/>
      <c r="G15" s="46"/>
      <c r="H15" s="46"/>
      <c r="I15" s="46"/>
      <c r="J15" s="41"/>
      <c r="K15" s="65"/>
      <c r="L15" s="66"/>
      <c r="M15" s="66"/>
      <c r="N15" s="66"/>
      <c r="O15" s="66"/>
      <c r="P15" s="66"/>
      <c r="Q15" s="66"/>
      <c r="R15" s="66"/>
      <c r="S15" s="66"/>
      <c r="T15" s="66"/>
      <c r="U15" s="66"/>
      <c r="V15" s="66"/>
      <c r="W15" s="66"/>
      <c r="X15" s="66"/>
      <c r="Y15" s="66"/>
      <c r="Z15" s="66"/>
      <c r="AA15" s="66"/>
      <c r="AB15" s="66"/>
      <c r="AC15" s="66"/>
      <c r="AD15" s="66"/>
      <c r="AE15" s="67"/>
      <c r="AF15" s="181"/>
      <c r="AG15" s="182"/>
      <c r="AH15" s="182"/>
      <c r="AI15" s="182"/>
      <c r="AJ15" s="183"/>
    </row>
    <row r="16" spans="1:36" ht="57.6" customHeight="1">
      <c r="A16" s="228" t="s">
        <v>15</v>
      </c>
      <c r="B16" s="229"/>
      <c r="C16" s="229"/>
      <c r="D16" s="230"/>
      <c r="E16" s="217" t="s">
        <v>16</v>
      </c>
      <c r="F16" s="218"/>
      <c r="G16" s="218"/>
      <c r="H16" s="218"/>
      <c r="I16" s="218"/>
      <c r="J16" s="219"/>
      <c r="K16" s="275" t="s">
        <v>82</v>
      </c>
      <c r="L16" s="276"/>
      <c r="M16" s="276"/>
      <c r="N16" s="276"/>
      <c r="O16" s="276"/>
      <c r="P16" s="276"/>
      <c r="Q16" s="276"/>
      <c r="R16" s="276"/>
      <c r="S16" s="276"/>
      <c r="T16" s="276"/>
      <c r="U16" s="276"/>
      <c r="V16" s="276"/>
      <c r="W16" s="276"/>
      <c r="X16" s="276"/>
      <c r="Y16" s="276"/>
      <c r="Z16" s="276"/>
      <c r="AA16" s="276"/>
      <c r="AB16" s="276"/>
      <c r="AC16" s="276"/>
      <c r="AD16" s="276"/>
      <c r="AE16" s="277"/>
      <c r="AF16" s="220" t="s">
        <v>17</v>
      </c>
      <c r="AG16" s="221"/>
      <c r="AH16" s="221"/>
      <c r="AI16" s="221"/>
      <c r="AJ16" s="222"/>
    </row>
    <row r="17" spans="1:36" ht="57.6" customHeight="1">
      <c r="A17" s="249"/>
      <c r="B17" s="250"/>
      <c r="C17" s="250"/>
      <c r="D17" s="251"/>
      <c r="E17" s="217" t="s">
        <v>18</v>
      </c>
      <c r="F17" s="218"/>
      <c r="G17" s="218"/>
      <c r="H17" s="218"/>
      <c r="I17" s="218"/>
      <c r="J17" s="219"/>
      <c r="K17" s="275" t="s">
        <v>83</v>
      </c>
      <c r="L17" s="276"/>
      <c r="M17" s="276"/>
      <c r="N17" s="276"/>
      <c r="O17" s="276"/>
      <c r="P17" s="276"/>
      <c r="Q17" s="276"/>
      <c r="R17" s="276"/>
      <c r="S17" s="276"/>
      <c r="T17" s="276"/>
      <c r="U17" s="276"/>
      <c r="V17" s="276"/>
      <c r="W17" s="276"/>
      <c r="X17" s="276"/>
      <c r="Y17" s="276"/>
      <c r="Z17" s="276"/>
      <c r="AA17" s="276"/>
      <c r="AB17" s="276"/>
      <c r="AC17" s="276"/>
      <c r="AD17" s="276"/>
      <c r="AE17" s="277"/>
      <c r="AF17" s="220" t="s">
        <v>19</v>
      </c>
      <c r="AG17" s="221"/>
      <c r="AH17" s="221"/>
      <c r="AI17" s="221"/>
      <c r="AJ17" s="222"/>
    </row>
    <row r="18" spans="1:36" ht="24.6" customHeight="1">
      <c r="A18" s="196" t="s">
        <v>20</v>
      </c>
      <c r="B18" s="197"/>
      <c r="C18" s="197"/>
      <c r="D18" s="197"/>
      <c r="E18" s="202" t="s">
        <v>21</v>
      </c>
      <c r="F18" s="203"/>
      <c r="G18" s="203"/>
      <c r="H18" s="203"/>
      <c r="I18" s="203"/>
      <c r="J18" s="204"/>
      <c r="K18" s="278" t="s">
        <v>84</v>
      </c>
      <c r="L18" s="279"/>
      <c r="M18" s="279"/>
      <c r="N18" s="279"/>
      <c r="O18" s="279"/>
      <c r="P18" s="279"/>
      <c r="Q18" s="279"/>
      <c r="R18" s="279"/>
      <c r="S18" s="279"/>
      <c r="T18" s="279"/>
      <c r="U18" s="279"/>
      <c r="V18" s="279"/>
      <c r="W18" s="279"/>
      <c r="X18" s="279"/>
      <c r="Y18" s="279"/>
      <c r="Z18" s="279"/>
      <c r="AA18" s="279"/>
      <c r="AB18" s="279"/>
      <c r="AC18" s="279"/>
      <c r="AD18" s="279"/>
      <c r="AE18" s="280"/>
      <c r="AF18" s="181" t="s">
        <v>81</v>
      </c>
      <c r="AG18" s="182"/>
      <c r="AH18" s="182"/>
      <c r="AI18" s="182"/>
      <c r="AJ18" s="183"/>
    </row>
    <row r="19" spans="1:36" ht="20.45" customHeight="1">
      <c r="A19" s="198"/>
      <c r="B19" s="199"/>
      <c r="C19" s="199"/>
      <c r="D19" s="199"/>
      <c r="E19" s="37" t="s">
        <v>23</v>
      </c>
      <c r="F19" s="47"/>
      <c r="G19" s="48"/>
      <c r="H19" s="47"/>
      <c r="I19" s="47"/>
      <c r="J19" s="49"/>
      <c r="K19" s="263" t="s">
        <v>85</v>
      </c>
      <c r="L19" s="264"/>
      <c r="M19" s="264"/>
      <c r="N19" s="264"/>
      <c r="O19" s="264"/>
      <c r="P19" s="264"/>
      <c r="Q19" s="264"/>
      <c r="R19" s="264"/>
      <c r="S19" s="264"/>
      <c r="T19" s="264"/>
      <c r="U19" s="264"/>
      <c r="V19" s="264"/>
      <c r="W19" s="264"/>
      <c r="X19" s="264"/>
      <c r="Y19" s="264"/>
      <c r="Z19" s="264"/>
      <c r="AA19" s="264"/>
      <c r="AB19" s="264"/>
      <c r="AC19" s="264"/>
      <c r="AD19" s="264"/>
      <c r="AE19" s="264"/>
      <c r="AF19" s="264"/>
      <c r="AG19" s="264"/>
      <c r="AH19" s="264"/>
      <c r="AI19" s="264"/>
      <c r="AJ19" s="265"/>
    </row>
    <row r="20" spans="1:36" ht="32.450000000000003" customHeight="1">
      <c r="A20" s="198"/>
      <c r="B20" s="199"/>
      <c r="C20" s="199"/>
      <c r="D20" s="199"/>
      <c r="E20" s="50" t="s">
        <v>24</v>
      </c>
      <c r="F20" s="51"/>
      <c r="G20" s="52"/>
      <c r="H20" s="52"/>
      <c r="I20" s="52"/>
      <c r="J20" s="53"/>
      <c r="K20" s="266" t="s">
        <v>86</v>
      </c>
      <c r="L20" s="267"/>
      <c r="M20" s="267"/>
      <c r="N20" s="267"/>
      <c r="O20" s="267"/>
      <c r="P20" s="267"/>
      <c r="Q20" s="267"/>
      <c r="R20" s="267"/>
      <c r="S20" s="267"/>
      <c r="T20" s="267"/>
      <c r="U20" s="267"/>
      <c r="V20" s="267"/>
      <c r="W20" s="267"/>
      <c r="X20" s="267"/>
      <c r="Y20" s="267"/>
      <c r="Z20" s="267"/>
      <c r="AA20" s="267"/>
      <c r="AB20" s="267"/>
      <c r="AC20" s="267"/>
      <c r="AD20" s="267"/>
      <c r="AE20" s="267"/>
      <c r="AF20" s="267"/>
      <c r="AG20" s="267"/>
      <c r="AH20" s="267"/>
      <c r="AI20" s="267"/>
      <c r="AJ20" s="268"/>
    </row>
    <row r="21" spans="1:36" ht="22.15" customHeight="1">
      <c r="A21" s="198"/>
      <c r="B21" s="199"/>
      <c r="C21" s="199"/>
      <c r="D21" s="199"/>
      <c r="E21" s="37" t="s">
        <v>9</v>
      </c>
      <c r="F21" s="47"/>
      <c r="G21" s="47"/>
      <c r="H21" s="47"/>
      <c r="I21" s="47"/>
      <c r="J21" s="49"/>
      <c r="K21" s="269" t="s">
        <v>87</v>
      </c>
      <c r="L21" s="270"/>
      <c r="M21" s="270"/>
      <c r="N21" s="270"/>
      <c r="O21" s="270"/>
      <c r="P21" s="270"/>
      <c r="Q21" s="270"/>
      <c r="R21" s="270"/>
      <c r="S21" s="270"/>
      <c r="T21" s="270"/>
      <c r="U21" s="270"/>
      <c r="V21" s="270"/>
      <c r="W21" s="270"/>
      <c r="X21" s="270"/>
      <c r="Y21" s="270"/>
      <c r="Z21" s="270"/>
      <c r="AA21" s="270"/>
      <c r="AB21" s="270"/>
      <c r="AC21" s="270"/>
      <c r="AD21" s="270"/>
      <c r="AE21" s="270"/>
      <c r="AF21" s="270"/>
      <c r="AG21" s="270"/>
      <c r="AH21" s="270"/>
      <c r="AI21" s="270"/>
      <c r="AJ21" s="271"/>
    </row>
    <row r="22" spans="1:36" ht="40.9" customHeight="1" thickBot="1">
      <c r="A22" s="200"/>
      <c r="B22" s="201"/>
      <c r="C22" s="201"/>
      <c r="D22" s="201"/>
      <c r="E22" s="54" t="s">
        <v>25</v>
      </c>
      <c r="F22" s="55"/>
      <c r="G22" s="55"/>
      <c r="H22" s="55"/>
      <c r="I22" s="55"/>
      <c r="J22" s="56"/>
      <c r="K22" s="272" t="s">
        <v>88</v>
      </c>
      <c r="L22" s="273"/>
      <c r="M22" s="273"/>
      <c r="N22" s="273"/>
      <c r="O22" s="273"/>
      <c r="P22" s="273"/>
      <c r="Q22" s="273"/>
      <c r="R22" s="273"/>
      <c r="S22" s="273"/>
      <c r="T22" s="273"/>
      <c r="U22" s="273"/>
      <c r="V22" s="273"/>
      <c r="W22" s="273"/>
      <c r="X22" s="273"/>
      <c r="Y22" s="273"/>
      <c r="Z22" s="273"/>
      <c r="AA22" s="273"/>
      <c r="AB22" s="273"/>
      <c r="AC22" s="273"/>
      <c r="AD22" s="273"/>
      <c r="AE22" s="273"/>
      <c r="AF22" s="273"/>
      <c r="AG22" s="273"/>
      <c r="AH22" s="273"/>
      <c r="AI22" s="273"/>
      <c r="AJ22" s="274"/>
    </row>
    <row r="23" spans="1:36">
      <c r="A23" s="57"/>
      <c r="B23" s="57"/>
      <c r="C23" s="57"/>
      <c r="D23" s="57"/>
      <c r="E23" s="57"/>
      <c r="F23" s="57"/>
      <c r="G23" s="57"/>
      <c r="H23" s="57"/>
      <c r="I23" s="57"/>
      <c r="J23" s="57"/>
      <c r="K23" s="236"/>
      <c r="L23" s="236"/>
      <c r="M23" s="236"/>
      <c r="N23" s="236"/>
      <c r="O23" s="236"/>
      <c r="P23" s="236"/>
      <c r="Q23" s="236"/>
      <c r="R23" s="236"/>
      <c r="S23" s="236"/>
      <c r="T23" s="236"/>
      <c r="U23" s="236"/>
      <c r="V23" s="236"/>
      <c r="W23" s="236"/>
      <c r="X23" s="236"/>
      <c r="Y23" s="236"/>
      <c r="Z23" s="236"/>
      <c r="AA23" s="236"/>
      <c r="AB23" s="236"/>
      <c r="AC23" s="236"/>
      <c r="AD23" s="236"/>
      <c r="AE23" s="236"/>
      <c r="AF23" s="236"/>
      <c r="AG23" s="236"/>
      <c r="AH23" s="236"/>
      <c r="AI23" s="236"/>
      <c r="AJ23" s="236"/>
    </row>
    <row r="24" spans="1:36" ht="21" customHeight="1" thickBot="1">
      <c r="A24" s="36" t="s">
        <v>26</v>
      </c>
      <c r="K24" s="237"/>
      <c r="L24" s="237"/>
      <c r="M24" s="237"/>
      <c r="N24" s="237"/>
      <c r="O24" s="237"/>
      <c r="P24" s="237"/>
      <c r="Q24" s="237"/>
      <c r="R24" s="237"/>
      <c r="S24" s="237"/>
      <c r="T24" s="237"/>
      <c r="U24" s="237"/>
      <c r="V24" s="237"/>
      <c r="W24" s="237"/>
      <c r="X24" s="237"/>
      <c r="Y24" s="237"/>
      <c r="Z24" s="237"/>
      <c r="AA24" s="237"/>
      <c r="AB24" s="237"/>
      <c r="AC24" s="237"/>
      <c r="AD24" s="237"/>
      <c r="AE24" s="237"/>
      <c r="AF24" s="237"/>
      <c r="AG24" s="237"/>
      <c r="AH24" s="237"/>
      <c r="AI24" s="237"/>
      <c r="AJ24" s="237"/>
    </row>
    <row r="25" spans="1:36" ht="54.6" customHeight="1">
      <c r="A25" s="223" t="s">
        <v>89</v>
      </c>
      <c r="B25" s="224"/>
      <c r="C25" s="224"/>
      <c r="D25" s="224"/>
      <c r="E25" s="224"/>
      <c r="F25" s="224"/>
      <c r="G25" s="224"/>
      <c r="H25" s="224"/>
      <c r="I25" s="224"/>
      <c r="J25" s="224"/>
      <c r="K25" s="225" t="s">
        <v>90</v>
      </c>
      <c r="L25" s="225"/>
      <c r="M25" s="225"/>
      <c r="N25" s="225"/>
      <c r="O25" s="225"/>
      <c r="P25" s="225"/>
      <c r="Q25" s="225"/>
      <c r="R25" s="225"/>
      <c r="S25" s="225"/>
      <c r="T25" s="225"/>
      <c r="U25" s="225"/>
      <c r="V25" s="225"/>
      <c r="W25" s="225"/>
      <c r="X25" s="225"/>
      <c r="Y25" s="225"/>
      <c r="Z25" s="225"/>
      <c r="AA25" s="225"/>
      <c r="AB25" s="225"/>
      <c r="AC25" s="226" t="s">
        <v>28</v>
      </c>
      <c r="AD25" s="226"/>
      <c r="AE25" s="226"/>
      <c r="AF25" s="226"/>
      <c r="AG25" s="226"/>
      <c r="AH25" s="226"/>
      <c r="AI25" s="226"/>
      <c r="AJ25" s="227"/>
    </row>
    <row r="26" spans="1:36" ht="54.6" customHeight="1" thickBot="1">
      <c r="A26" s="234" t="s">
        <v>91</v>
      </c>
      <c r="B26" s="235"/>
      <c r="C26" s="235"/>
      <c r="D26" s="235"/>
      <c r="E26" s="235"/>
      <c r="F26" s="235"/>
      <c r="G26" s="235"/>
      <c r="H26" s="235"/>
      <c r="I26" s="235"/>
      <c r="J26" s="235"/>
      <c r="K26" s="233" t="s">
        <v>92</v>
      </c>
      <c r="L26" s="233"/>
      <c r="M26" s="233"/>
      <c r="N26" s="233"/>
      <c r="O26" s="233"/>
      <c r="P26" s="233"/>
      <c r="Q26" s="233"/>
      <c r="R26" s="233"/>
      <c r="S26" s="233"/>
      <c r="T26" s="233"/>
      <c r="U26" s="233"/>
      <c r="V26" s="233"/>
      <c r="W26" s="233"/>
      <c r="X26" s="233"/>
      <c r="Y26" s="233"/>
      <c r="Z26" s="233"/>
      <c r="AA26" s="233"/>
      <c r="AB26" s="233"/>
      <c r="AC26" s="231" t="s">
        <v>30</v>
      </c>
      <c r="AD26" s="231"/>
      <c r="AE26" s="231"/>
      <c r="AF26" s="231"/>
      <c r="AG26" s="231"/>
      <c r="AH26" s="231"/>
      <c r="AI26" s="231"/>
      <c r="AJ26" s="232"/>
    </row>
    <row r="27" spans="1:36">
      <c r="A27" s="58"/>
      <c r="B27" s="58"/>
      <c r="C27" s="58"/>
      <c r="D27" s="58"/>
      <c r="E27" s="59"/>
      <c r="F27" s="59"/>
      <c r="G27" s="59"/>
      <c r="H27" s="59"/>
      <c r="I27" s="59"/>
      <c r="J27" s="59"/>
      <c r="K27" s="59"/>
      <c r="L27" s="59"/>
      <c r="M27" s="59"/>
      <c r="N27" s="59"/>
      <c r="O27" s="59"/>
      <c r="P27" s="59"/>
      <c r="Q27" s="59"/>
      <c r="R27" s="59"/>
      <c r="S27" s="59"/>
      <c r="T27" s="59"/>
      <c r="U27" s="59"/>
      <c r="V27" s="59"/>
      <c r="W27" s="59"/>
      <c r="X27" s="59"/>
      <c r="Y27" s="59"/>
      <c r="Z27" s="59"/>
      <c r="AA27" s="59"/>
      <c r="AB27" s="59"/>
      <c r="AC27" s="60"/>
      <c r="AD27" s="60"/>
      <c r="AE27" s="60"/>
      <c r="AF27" s="60"/>
      <c r="AG27" s="60"/>
      <c r="AH27" s="60"/>
      <c r="AI27" s="60"/>
      <c r="AJ27" s="60"/>
    </row>
    <row r="28" spans="1:36" ht="15" customHeight="1"/>
    <row r="29" spans="1:36" ht="82.9" customHeight="1"/>
    <row r="30" spans="1:36" ht="28.9" customHeight="1">
      <c r="G30" s="61"/>
    </row>
    <row r="31" spans="1:36" ht="28.9" customHeight="1">
      <c r="G31" s="61"/>
    </row>
    <row r="32" spans="1:36" ht="28.9" customHeight="1">
      <c r="G32" s="61"/>
    </row>
    <row r="33" spans="1:28">
      <c r="A33" s="61"/>
    </row>
    <row r="34" spans="1:28">
      <c r="A34" s="61"/>
    </row>
    <row r="35" spans="1:28">
      <c r="A35" s="61"/>
    </row>
    <row r="37" spans="1:28">
      <c r="A37" s="30" t="s">
        <v>31</v>
      </c>
    </row>
    <row r="38" spans="1:28" ht="13.15" customHeight="1">
      <c r="A38" s="212" t="s">
        <v>32</v>
      </c>
      <c r="B38" s="212"/>
      <c r="C38" s="62"/>
      <c r="D38" s="63"/>
      <c r="E38" s="133" t="s">
        <v>33</v>
      </c>
      <c r="F38" s="134"/>
      <c r="G38" s="134"/>
      <c r="H38" s="134"/>
      <c r="I38" s="134"/>
      <c r="J38" s="134"/>
      <c r="K38" s="134"/>
      <c r="L38" s="135"/>
      <c r="M38" s="206"/>
      <c r="N38" s="207"/>
      <c r="O38" s="207"/>
      <c r="P38" s="207"/>
      <c r="Q38" s="207"/>
      <c r="R38" s="207"/>
      <c r="S38" s="207"/>
      <c r="T38" s="207"/>
      <c r="U38" s="207"/>
      <c r="V38" s="207"/>
      <c r="W38" s="207"/>
      <c r="X38" s="207"/>
      <c r="Y38" s="207"/>
      <c r="Z38" s="207"/>
      <c r="AA38" s="207"/>
      <c r="AB38" s="208"/>
    </row>
    <row r="39" spans="1:28" ht="13.15" customHeight="1">
      <c r="A39" s="213"/>
      <c r="B39" s="213"/>
      <c r="C39" s="36"/>
      <c r="D39" s="64"/>
      <c r="E39" s="136"/>
      <c r="F39" s="137"/>
      <c r="G39" s="137"/>
      <c r="H39" s="137"/>
      <c r="I39" s="137"/>
      <c r="J39" s="137"/>
      <c r="K39" s="137"/>
      <c r="L39" s="138"/>
      <c r="M39" s="209"/>
      <c r="N39" s="210"/>
      <c r="O39" s="210"/>
      <c r="P39" s="210"/>
      <c r="Q39" s="210"/>
      <c r="R39" s="210"/>
      <c r="S39" s="210"/>
      <c r="T39" s="210"/>
      <c r="U39" s="210"/>
      <c r="V39" s="210"/>
      <c r="W39" s="210"/>
      <c r="X39" s="210"/>
      <c r="Y39" s="210"/>
      <c r="Z39" s="210"/>
      <c r="AA39" s="210"/>
      <c r="AB39" s="211"/>
    </row>
    <row r="40" spans="1:28" ht="13.5" customHeight="1">
      <c r="A40" s="213"/>
      <c r="B40" s="213"/>
      <c r="C40" s="36"/>
      <c r="D40" s="64"/>
      <c r="E40" s="133" t="s">
        <v>34</v>
      </c>
      <c r="F40" s="134"/>
      <c r="G40" s="134"/>
      <c r="H40" s="134"/>
      <c r="I40" s="134"/>
      <c r="J40" s="134"/>
      <c r="K40" s="134"/>
      <c r="L40" s="135"/>
      <c r="M40" s="205"/>
      <c r="N40" s="185"/>
      <c r="O40" s="185"/>
      <c r="P40" s="185"/>
      <c r="Q40" s="185"/>
      <c r="R40" s="185"/>
      <c r="S40" s="185"/>
      <c r="T40" s="185"/>
      <c r="U40" s="185"/>
      <c r="V40" s="185"/>
      <c r="W40" s="185"/>
      <c r="X40" s="185"/>
      <c r="Y40" s="185"/>
      <c r="Z40" s="185"/>
      <c r="AA40" s="185"/>
      <c r="AB40" s="186"/>
    </row>
    <row r="41" spans="1:28" ht="13.15" customHeight="1">
      <c r="A41" s="213"/>
      <c r="B41" s="213"/>
      <c r="C41" s="36"/>
      <c r="D41" s="64"/>
      <c r="E41" s="136"/>
      <c r="F41" s="137"/>
      <c r="G41" s="137"/>
      <c r="H41" s="137"/>
      <c r="I41" s="137"/>
      <c r="J41" s="137"/>
      <c r="K41" s="137"/>
      <c r="L41" s="138"/>
      <c r="M41" s="187"/>
      <c r="N41" s="188"/>
      <c r="O41" s="188"/>
      <c r="P41" s="188"/>
      <c r="Q41" s="188"/>
      <c r="R41" s="188"/>
      <c r="S41" s="188"/>
      <c r="T41" s="188"/>
      <c r="U41" s="188"/>
      <c r="V41" s="188"/>
      <c r="W41" s="188"/>
      <c r="X41" s="188"/>
      <c r="Y41" s="188"/>
      <c r="Z41" s="188"/>
      <c r="AA41" s="188"/>
      <c r="AB41" s="189"/>
    </row>
    <row r="42" spans="1:28" ht="13.15" customHeight="1">
      <c r="A42" s="213"/>
      <c r="B42" s="213"/>
      <c r="C42" s="190" t="s">
        <v>35</v>
      </c>
      <c r="D42" s="191"/>
      <c r="E42" s="133" t="s">
        <v>36</v>
      </c>
      <c r="F42" s="134"/>
      <c r="G42" s="134"/>
      <c r="H42" s="134"/>
      <c r="I42" s="134"/>
      <c r="J42" s="134"/>
      <c r="K42" s="134"/>
      <c r="L42" s="135"/>
      <c r="M42" s="205"/>
      <c r="N42" s="185"/>
      <c r="O42" s="185"/>
      <c r="P42" s="185"/>
      <c r="Q42" s="185"/>
      <c r="R42" s="185"/>
      <c r="S42" s="185"/>
      <c r="T42" s="185"/>
      <c r="U42" s="185"/>
      <c r="V42" s="185"/>
      <c r="W42" s="185"/>
      <c r="X42" s="185"/>
      <c r="Y42" s="185"/>
      <c r="Z42" s="185"/>
      <c r="AA42" s="185"/>
      <c r="AB42" s="186"/>
    </row>
    <row r="43" spans="1:28" ht="13.15" customHeight="1">
      <c r="A43" s="213"/>
      <c r="B43" s="213"/>
      <c r="C43" s="192"/>
      <c r="D43" s="193"/>
      <c r="E43" s="136"/>
      <c r="F43" s="137"/>
      <c r="G43" s="137"/>
      <c r="H43" s="137"/>
      <c r="I43" s="137"/>
      <c r="J43" s="137"/>
      <c r="K43" s="137"/>
      <c r="L43" s="138"/>
      <c r="M43" s="187"/>
      <c r="N43" s="188"/>
      <c r="O43" s="188"/>
      <c r="P43" s="188"/>
      <c r="Q43" s="188"/>
      <c r="R43" s="188"/>
      <c r="S43" s="188"/>
      <c r="T43" s="188"/>
      <c r="U43" s="188"/>
      <c r="V43" s="188"/>
      <c r="W43" s="188"/>
      <c r="X43" s="188"/>
      <c r="Y43" s="188"/>
      <c r="Z43" s="188"/>
      <c r="AA43" s="188"/>
      <c r="AB43" s="189"/>
    </row>
    <row r="44" spans="1:28" ht="13.15" customHeight="1">
      <c r="A44" s="213"/>
      <c r="B44" s="213"/>
      <c r="C44" s="192"/>
      <c r="D44" s="193"/>
      <c r="E44" s="133" t="s">
        <v>37</v>
      </c>
      <c r="F44" s="134"/>
      <c r="G44" s="134"/>
      <c r="H44" s="134"/>
      <c r="I44" s="134"/>
      <c r="J44" s="134"/>
      <c r="K44" s="134"/>
      <c r="L44" s="135"/>
      <c r="M44" s="205"/>
      <c r="N44" s="185"/>
      <c r="O44" s="185"/>
      <c r="P44" s="185"/>
      <c r="Q44" s="185"/>
      <c r="R44" s="185"/>
      <c r="S44" s="185"/>
      <c r="T44" s="185"/>
      <c r="U44" s="185"/>
      <c r="V44" s="185"/>
      <c r="W44" s="185"/>
      <c r="X44" s="185"/>
      <c r="Y44" s="185"/>
      <c r="Z44" s="185"/>
      <c r="AA44" s="185"/>
      <c r="AB44" s="186"/>
    </row>
    <row r="45" spans="1:28" ht="13.15" customHeight="1">
      <c r="A45" s="213"/>
      <c r="B45" s="213"/>
      <c r="C45" s="192"/>
      <c r="D45" s="193"/>
      <c r="E45" s="136"/>
      <c r="F45" s="137"/>
      <c r="G45" s="137"/>
      <c r="H45" s="137"/>
      <c r="I45" s="137"/>
      <c r="J45" s="137"/>
      <c r="K45" s="137"/>
      <c r="L45" s="138"/>
      <c r="M45" s="187"/>
      <c r="N45" s="188"/>
      <c r="O45" s="188"/>
      <c r="P45" s="188"/>
      <c r="Q45" s="188"/>
      <c r="R45" s="188"/>
      <c r="S45" s="188"/>
      <c r="T45" s="188"/>
      <c r="U45" s="188"/>
      <c r="V45" s="188"/>
      <c r="W45" s="188"/>
      <c r="X45" s="188"/>
      <c r="Y45" s="188"/>
      <c r="Z45" s="188"/>
      <c r="AA45" s="188"/>
      <c r="AB45" s="189"/>
    </row>
    <row r="46" spans="1:28" ht="13.15" customHeight="1">
      <c r="A46" s="213"/>
      <c r="B46" s="213"/>
      <c r="C46" s="192"/>
      <c r="D46" s="193"/>
      <c r="E46" s="133" t="s">
        <v>38</v>
      </c>
      <c r="F46" s="134"/>
      <c r="G46" s="134"/>
      <c r="H46" s="134"/>
      <c r="I46" s="134"/>
      <c r="J46" s="134"/>
      <c r="K46" s="134"/>
      <c r="L46" s="135"/>
      <c r="M46" s="205"/>
      <c r="N46" s="185"/>
      <c r="O46" s="185"/>
      <c r="P46" s="185"/>
      <c r="Q46" s="185"/>
      <c r="R46" s="185"/>
      <c r="S46" s="185"/>
      <c r="T46" s="185"/>
      <c r="U46" s="185"/>
      <c r="V46" s="185"/>
      <c r="W46" s="185"/>
      <c r="X46" s="185"/>
      <c r="Y46" s="185"/>
      <c r="Z46" s="185"/>
      <c r="AA46" s="185"/>
      <c r="AB46" s="186"/>
    </row>
    <row r="47" spans="1:28" ht="13.15" customHeight="1">
      <c r="A47" s="213"/>
      <c r="B47" s="213"/>
      <c r="C47" s="192"/>
      <c r="D47" s="193"/>
      <c r="E47" s="136"/>
      <c r="F47" s="137"/>
      <c r="G47" s="137"/>
      <c r="H47" s="137"/>
      <c r="I47" s="137"/>
      <c r="J47" s="137"/>
      <c r="K47" s="137"/>
      <c r="L47" s="138"/>
      <c r="M47" s="187"/>
      <c r="N47" s="188"/>
      <c r="O47" s="188"/>
      <c r="P47" s="188"/>
      <c r="Q47" s="188"/>
      <c r="R47" s="188"/>
      <c r="S47" s="188"/>
      <c r="T47" s="188"/>
      <c r="U47" s="188"/>
      <c r="V47" s="188"/>
      <c r="W47" s="188"/>
      <c r="X47" s="188"/>
      <c r="Y47" s="188"/>
      <c r="Z47" s="188"/>
      <c r="AA47" s="188"/>
      <c r="AB47" s="189"/>
    </row>
    <row r="48" spans="1:28" ht="13.15" customHeight="1">
      <c r="A48" s="213"/>
      <c r="B48" s="213"/>
      <c r="C48" s="192"/>
      <c r="D48" s="193"/>
      <c r="E48" s="133" t="s">
        <v>39</v>
      </c>
      <c r="F48" s="134"/>
      <c r="G48" s="134"/>
      <c r="H48" s="134"/>
      <c r="I48" s="134"/>
      <c r="J48" s="134"/>
      <c r="K48" s="134"/>
      <c r="L48" s="135"/>
      <c r="M48" s="184"/>
      <c r="N48" s="185"/>
      <c r="O48" s="185"/>
      <c r="P48" s="185"/>
      <c r="Q48" s="185"/>
      <c r="R48" s="185"/>
      <c r="S48" s="185"/>
      <c r="T48" s="185"/>
      <c r="U48" s="185"/>
      <c r="V48" s="185"/>
      <c r="W48" s="185"/>
      <c r="X48" s="185"/>
      <c r="Y48" s="185"/>
      <c r="Z48" s="185"/>
      <c r="AA48" s="185"/>
      <c r="AB48" s="186"/>
    </row>
    <row r="49" spans="1:28" ht="13.15" customHeight="1">
      <c r="A49" s="214"/>
      <c r="B49" s="214"/>
      <c r="C49" s="194"/>
      <c r="D49" s="195"/>
      <c r="E49" s="136"/>
      <c r="F49" s="137"/>
      <c r="G49" s="137"/>
      <c r="H49" s="137"/>
      <c r="I49" s="137"/>
      <c r="J49" s="137"/>
      <c r="K49" s="137"/>
      <c r="L49" s="138"/>
      <c r="M49" s="187"/>
      <c r="N49" s="188"/>
      <c r="O49" s="188"/>
      <c r="P49" s="188"/>
      <c r="Q49" s="188"/>
      <c r="R49" s="188"/>
      <c r="S49" s="188"/>
      <c r="T49" s="188"/>
      <c r="U49" s="188"/>
      <c r="V49" s="188"/>
      <c r="W49" s="188"/>
      <c r="X49" s="188"/>
      <c r="Y49" s="188"/>
      <c r="Z49" s="188"/>
      <c r="AA49" s="188"/>
      <c r="AB49" s="189"/>
    </row>
  </sheetData>
  <sheetProtection algorithmName="SHA-512" hashValue="7b5TxCPeNVzr1iHogl5rALYYSzfE2UyESetN9HBbJLo6PLKSkzGQSq6iPWWiR+n0RHBfZvTfhxEsKapIEv2RjQ==" saltValue="DkfrTmbW4/sEl3eJiBCscA==" spinCount="100000" sheet="1" selectLockedCells="1"/>
  <mergeCells count="55">
    <mergeCell ref="AF11:AJ11"/>
    <mergeCell ref="A12:D13"/>
    <mergeCell ref="K12:AC12"/>
    <mergeCell ref="AF12:AJ13"/>
    <mergeCell ref="K13:AC13"/>
    <mergeCell ref="AD13:AE13"/>
    <mergeCell ref="AF5:AG5"/>
    <mergeCell ref="A6:AD6"/>
    <mergeCell ref="A10:J10"/>
    <mergeCell ref="K10:AE10"/>
    <mergeCell ref="AF10:AJ10"/>
    <mergeCell ref="K14:AE14"/>
    <mergeCell ref="A16:D17"/>
    <mergeCell ref="A1:AE2"/>
    <mergeCell ref="A11:D11"/>
    <mergeCell ref="E11:J11"/>
    <mergeCell ref="K11:AE11"/>
    <mergeCell ref="A14:I14"/>
    <mergeCell ref="A18:D22"/>
    <mergeCell ref="E18:J18"/>
    <mergeCell ref="K18:AE18"/>
    <mergeCell ref="AF18:AJ18"/>
    <mergeCell ref="E17:J17"/>
    <mergeCell ref="M38:AB39"/>
    <mergeCell ref="E40:L41"/>
    <mergeCell ref="M40:AB41"/>
    <mergeCell ref="C42:D49"/>
    <mergeCell ref="AF14:AJ14"/>
    <mergeCell ref="AF15:AJ15"/>
    <mergeCell ref="E44:L45"/>
    <mergeCell ref="M44:AB45"/>
    <mergeCell ref="K17:AE17"/>
    <mergeCell ref="AF17:AJ17"/>
    <mergeCell ref="E16:J16"/>
    <mergeCell ref="K16:AE16"/>
    <mergeCell ref="AF16:AJ16"/>
    <mergeCell ref="A25:J25"/>
    <mergeCell ref="K25:AB25"/>
    <mergeCell ref="AC25:AJ25"/>
    <mergeCell ref="E48:L49"/>
    <mergeCell ref="M48:AB49"/>
    <mergeCell ref="E42:L43"/>
    <mergeCell ref="M42:AB43"/>
    <mergeCell ref="K19:AJ19"/>
    <mergeCell ref="K20:AJ20"/>
    <mergeCell ref="K21:AJ21"/>
    <mergeCell ref="K22:AJ22"/>
    <mergeCell ref="E46:L47"/>
    <mergeCell ref="M46:AB47"/>
    <mergeCell ref="K23:AJ24"/>
    <mergeCell ref="A26:J26"/>
    <mergeCell ref="K26:AB26"/>
    <mergeCell ref="AC26:AJ26"/>
    <mergeCell ref="A38:B49"/>
    <mergeCell ref="E38:L39"/>
  </mergeCells>
  <phoneticPr fontId="1"/>
  <dataValidations count="9">
    <dataValidation type="textLength" imeMode="disabled" allowBlank="1" showInputMessage="1" showErrorMessage="1" errorTitle="電話番号を記載ください" error="ハイフンは不要です" sqref="K18:AE18" xr:uid="{E7BAE35B-1126-4623-A3DE-3AB6165A45B8}">
      <formula1>10</formula1>
      <formula2>11</formula2>
    </dataValidation>
    <dataValidation type="custom" imeMode="disabled" allowBlank="1" showInputMessage="1" showErrorMessage="1" error=" 郵便番号を記載ください。ハイフン不要です。" sqref="K14:AE14" xr:uid="{1CF39BEF-D6A8-4A8D-AE9C-16AA530D4FB3}">
      <formula1>OR((LEN(K14)=7),(LEN(K14)=8))</formula1>
    </dataValidation>
    <dataValidation imeMode="halfAlpha" allowBlank="1" showInputMessage="1" showErrorMessage="1" sqref="M48:AB49" xr:uid="{2F7B3A57-5793-419D-B5CF-AB3B353B3B57}"/>
    <dataValidation type="whole" imeMode="disabled" allowBlank="1" showInputMessage="1" showErrorMessage="1" errorTitle="7桁の数字（半角）" error="BSの後ろの7桁の数字（半角）をご記入ください" sqref="K11:AE11" xr:uid="{27005DB6-94D7-471B-9E1B-36798024E78E}">
      <formula1>0</formula1>
      <formula2>9999999</formula2>
    </dataValidation>
    <dataValidation imeMode="hiragana" allowBlank="1" showInputMessage="1" showErrorMessage="1" sqref="K13:AC13 K20:AJ20 K22:AJ22 K16:AE17 M40:AB47" xr:uid="{DC40A476-2D3F-4514-8BDA-79AD6C62E045}"/>
    <dataValidation type="custom" imeMode="off" allowBlank="1" showInputMessage="1" showErrorMessage="1" error=" 郵便番号を記載ください。ハイフン不要です。" sqref="J14" xr:uid="{CC066CD6-37E5-4205-B4F7-E09674F98B95}">
      <formula1>OR((LEN(J14)=7),(LEN(J14)=8))</formula1>
    </dataValidation>
    <dataValidation imeMode="fullKatakana" allowBlank="1" showInputMessage="1" showErrorMessage="1" sqref="K19 K21:AJ21 K12:AC12" xr:uid="{08A44D88-F721-428C-8FB4-A1635699E41F}"/>
    <dataValidation imeMode="off" allowBlank="1" showInputMessage="1" showErrorMessage="1" sqref="K10:AE10" xr:uid="{FFA483CA-998C-4A93-8BE4-0929DE8234A7}"/>
    <dataValidation type="list" allowBlank="1" showInputMessage="1" showErrorMessage="1" sqref="K25:AB25" xr:uid="{78CDB466-62C5-4CB9-942C-60A245A87388}">
      <formula1>"スタンダードプラン,ダウンロードプラン"</formula1>
    </dataValidation>
  </dataValidations>
  <printOptions horizontalCentered="1"/>
  <pageMargins left="0.19685039370078741" right="0.15748031496062992" top="0.27559055118110237" bottom="0.35433070866141736" header="0.15748031496062992" footer="0.15748031496062992"/>
  <pageSetup paperSize="9" scale="62" orientation="portrait" r:id="rId1"/>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63CA7A1-7FDA-4D9E-A71F-80ABCE7492FD}">
          <x14:formula1>
            <xm:f>'選択肢（隠す）変更'!$A$4:$A$6</xm:f>
          </x14:formula1>
          <xm:sqref>K26:AB26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ECB94-10CA-4CE7-A86E-46F042B80A69}">
  <dimension ref="A1:Q512"/>
  <sheetViews>
    <sheetView zoomScale="80" zoomScaleNormal="80" workbookViewId="0">
      <selection activeCell="C13" sqref="C13"/>
    </sheetView>
  </sheetViews>
  <sheetFormatPr defaultColWidth="11" defaultRowHeight="16.5"/>
  <cols>
    <col min="1" max="1" width="6.25" style="12" customWidth="1"/>
    <col min="2" max="2" width="9.125" style="12" bestFit="1" customWidth="1"/>
    <col min="3" max="3" width="9.125" style="12" customWidth="1"/>
    <col min="4" max="4" width="9.375" style="12" hidden="1" customWidth="1"/>
    <col min="5" max="5" width="23.375" style="12" customWidth="1"/>
    <col min="6" max="6" width="24.375" style="90" customWidth="1"/>
    <col min="7" max="7" width="22.375" style="12" customWidth="1"/>
    <col min="8" max="8" width="19.375" style="12" hidden="1" customWidth="1"/>
    <col min="9" max="9" width="15" style="12" hidden="1" customWidth="1"/>
    <col min="10" max="10" width="22.75" style="12" hidden="1" customWidth="1"/>
    <col min="11" max="11" width="10.375" style="12" hidden="1" customWidth="1"/>
    <col min="12" max="12" width="19.375" style="12" hidden="1" customWidth="1"/>
    <col min="13" max="13" width="11" style="12" hidden="1" customWidth="1"/>
    <col min="14" max="16384" width="11" style="12"/>
  </cols>
  <sheetData>
    <row r="1" spans="1:17" ht="24.75">
      <c r="A1" s="11" t="s">
        <v>40</v>
      </c>
    </row>
    <row r="2" spans="1:17" ht="69.599999999999994" customHeight="1">
      <c r="A2" s="80"/>
      <c r="B2" s="80"/>
      <c r="E2" s="252" t="s">
        <v>41</v>
      </c>
      <c r="F2" s="252"/>
      <c r="G2" s="252"/>
      <c r="H2" s="252"/>
      <c r="I2" s="252"/>
      <c r="J2" s="252"/>
      <c r="K2" s="252"/>
      <c r="L2" s="252"/>
      <c r="M2" s="252"/>
      <c r="N2" s="252"/>
      <c r="O2" s="252"/>
      <c r="P2" s="252"/>
      <c r="Q2" s="252"/>
    </row>
    <row r="3" spans="1:17" ht="28.9" customHeight="1">
      <c r="A3" s="11"/>
      <c r="E3" s="13" t="s">
        <v>42</v>
      </c>
    </row>
    <row r="4" spans="1:17" ht="30" customHeight="1">
      <c r="A4" s="11"/>
      <c r="E4" s="253" t="s">
        <v>43</v>
      </c>
      <c r="F4" s="253"/>
      <c r="G4" s="253"/>
      <c r="H4" s="253"/>
      <c r="I4" s="253"/>
      <c r="J4" s="253"/>
      <c r="K4" s="253"/>
      <c r="L4" s="253"/>
      <c r="M4" s="253"/>
      <c r="N4" s="253"/>
      <c r="O4" s="253"/>
      <c r="P4" s="253"/>
      <c r="Q4" s="253"/>
    </row>
    <row r="5" spans="1:17" ht="28.9" customHeight="1">
      <c r="A5" s="11"/>
      <c r="E5" s="128" t="s">
        <v>44</v>
      </c>
    </row>
    <row r="6" spans="1:17" ht="30" customHeight="1" thickBot="1">
      <c r="A6" s="11"/>
      <c r="C6" s="13"/>
      <c r="E6" s="13" t="s">
        <v>45</v>
      </c>
    </row>
    <row r="7" spans="1:17" ht="30.6" customHeight="1" thickBot="1">
      <c r="B7" s="260" t="s">
        <v>93</v>
      </c>
      <c r="C7" s="261"/>
      <c r="D7" s="261"/>
      <c r="E7" s="261"/>
      <c r="F7" s="261"/>
      <c r="G7" s="262"/>
      <c r="H7" s="260" t="s">
        <v>94</v>
      </c>
      <c r="I7" s="261"/>
      <c r="J7" s="261"/>
      <c r="K7" s="261"/>
      <c r="L7" s="262"/>
      <c r="M7" s="12" t="s">
        <v>48</v>
      </c>
    </row>
    <row r="8" spans="1:17" ht="112.9" customHeight="1">
      <c r="B8" s="14" t="s">
        <v>49</v>
      </c>
      <c r="C8" s="28" t="s">
        <v>50</v>
      </c>
      <c r="D8" s="14" t="s">
        <v>95</v>
      </c>
      <c r="E8" s="16" t="s">
        <v>52</v>
      </c>
      <c r="F8" s="81"/>
      <c r="G8" s="15" t="s">
        <v>53</v>
      </c>
      <c r="H8" s="256" t="s">
        <v>54</v>
      </c>
      <c r="I8" s="257"/>
      <c r="J8" s="16" t="s">
        <v>55</v>
      </c>
      <c r="K8" s="254" t="s">
        <v>56</v>
      </c>
      <c r="L8" s="255"/>
    </row>
    <row r="9" spans="1:17" s="17" customFormat="1" ht="54" customHeight="1" thickBot="1">
      <c r="B9" s="18" t="s">
        <v>57</v>
      </c>
      <c r="C9" s="29" t="s">
        <v>58</v>
      </c>
      <c r="D9" s="19" t="s">
        <v>59</v>
      </c>
      <c r="E9" s="89" t="s">
        <v>60</v>
      </c>
      <c r="F9" s="88" t="s">
        <v>61</v>
      </c>
      <c r="G9" s="18"/>
      <c r="H9" s="258" t="s">
        <v>62</v>
      </c>
      <c r="I9" s="259"/>
      <c r="J9" s="20" t="s">
        <v>63</v>
      </c>
      <c r="K9" s="21" t="s">
        <v>64</v>
      </c>
      <c r="L9" s="22" t="s">
        <v>65</v>
      </c>
      <c r="M9" s="12" t="s">
        <v>66</v>
      </c>
      <c r="N9" s="12"/>
      <c r="O9" s="12"/>
    </row>
    <row r="10" spans="1:17" s="17" customFormat="1" ht="21.6" customHeight="1">
      <c r="B10" s="23" t="s">
        <v>67</v>
      </c>
      <c r="C10" s="74" t="s">
        <v>68</v>
      </c>
      <c r="D10" s="24">
        <v>1</v>
      </c>
      <c r="E10" s="82" t="s">
        <v>69</v>
      </c>
      <c r="F10" s="91"/>
      <c r="G10" s="72"/>
      <c r="H10" s="95" t="s">
        <v>70</v>
      </c>
      <c r="I10" s="96">
        <v>12345</v>
      </c>
      <c r="J10" s="97" t="s">
        <v>71</v>
      </c>
      <c r="K10" s="98"/>
      <c r="L10" s="99"/>
      <c r="M10" s="12"/>
      <c r="N10" s="12"/>
      <c r="O10" s="12"/>
    </row>
    <row r="11" spans="1:17" s="17" customFormat="1" ht="21.6" customHeight="1">
      <c r="B11" s="25" t="s">
        <v>72</v>
      </c>
      <c r="C11" s="74" t="s">
        <v>68</v>
      </c>
      <c r="D11" s="24">
        <v>2</v>
      </c>
      <c r="E11" s="83" t="s">
        <v>73</v>
      </c>
      <c r="F11" s="92"/>
      <c r="G11" s="73"/>
      <c r="H11" s="95"/>
      <c r="I11" s="96"/>
      <c r="J11" s="97"/>
      <c r="K11" s="98" t="s">
        <v>74</v>
      </c>
      <c r="L11" s="100"/>
      <c r="M11" s="12"/>
      <c r="N11" s="12"/>
      <c r="O11" s="12"/>
    </row>
    <row r="12" spans="1:17" s="17" customFormat="1" ht="21.6" customHeight="1">
      <c r="B12" s="25" t="s">
        <v>75</v>
      </c>
      <c r="C12" s="74" t="s">
        <v>68</v>
      </c>
      <c r="D12" s="24">
        <v>3</v>
      </c>
      <c r="E12" s="83" t="s">
        <v>76</v>
      </c>
      <c r="F12" s="92"/>
      <c r="G12" s="73"/>
      <c r="H12" s="95"/>
      <c r="I12" s="96"/>
      <c r="J12" s="97"/>
      <c r="K12" s="98"/>
      <c r="L12" s="101"/>
      <c r="M12" s="12"/>
      <c r="N12" s="12"/>
      <c r="O12" s="12"/>
    </row>
    <row r="13" spans="1:17" ht="22.5">
      <c r="B13" s="26">
        <v>1</v>
      </c>
      <c r="C13" s="68" t="s">
        <v>68</v>
      </c>
      <c r="D13" s="69">
        <v>1</v>
      </c>
      <c r="E13" s="84">
        <v>1234123123</v>
      </c>
      <c r="F13" s="93" t="str">
        <f>IF(D13=FALSE,"←ご確認ください",IF(OR(D13=1,D13=2,D13=3),"形式OK",""))</f>
        <v>形式OK</v>
      </c>
      <c r="G13" s="75"/>
      <c r="H13" s="102" t="s">
        <v>96</v>
      </c>
      <c r="I13" s="102"/>
      <c r="J13" s="102" t="s">
        <v>71</v>
      </c>
      <c r="K13" s="103"/>
      <c r="L13" s="104"/>
      <c r="M13" s="12" t="b">
        <f t="shared" ref="M13:M76" si="0">IF(COUNTA(E13:G13)=0,FALSE,TRUE)</f>
        <v>1</v>
      </c>
    </row>
    <row r="14" spans="1:17" ht="22.5">
      <c r="B14" s="26">
        <v>2</v>
      </c>
      <c r="C14" s="68" t="s">
        <v>68</v>
      </c>
      <c r="D14" s="69">
        <v>2</v>
      </c>
      <c r="E14" s="84" t="s">
        <v>97</v>
      </c>
      <c r="F14" s="93" t="str">
        <f t="shared" ref="F14:F17" si="1">IF(D14=FALSE,"←ご確認ください",IF(OR(D14=1,D14=2,D14=3),"形式OK",""))</f>
        <v>形式OK</v>
      </c>
      <c r="G14" s="75"/>
      <c r="H14" s="102"/>
      <c r="I14" s="102"/>
      <c r="J14" s="102"/>
      <c r="K14" s="103" t="s">
        <v>74</v>
      </c>
      <c r="L14" s="105"/>
      <c r="M14" s="12" t="b">
        <f t="shared" si="0"/>
        <v>1</v>
      </c>
    </row>
    <row r="15" spans="1:17" ht="22.5">
      <c r="B15" s="26">
        <v>3</v>
      </c>
      <c r="C15" s="68" t="s">
        <v>68</v>
      </c>
      <c r="D15" s="70">
        <v>3</v>
      </c>
      <c r="E15" s="85" t="s">
        <v>98</v>
      </c>
      <c r="F15" s="93" t="str">
        <f t="shared" si="1"/>
        <v>形式OK</v>
      </c>
      <c r="G15" s="75"/>
      <c r="H15" s="102"/>
      <c r="I15" s="102"/>
      <c r="J15" s="102"/>
      <c r="K15" s="103"/>
      <c r="L15" s="105"/>
      <c r="M15" s="12" t="b">
        <f t="shared" si="0"/>
        <v>1</v>
      </c>
    </row>
    <row r="16" spans="1:17" ht="22.5">
      <c r="B16" s="26">
        <v>4</v>
      </c>
      <c r="C16" s="68" t="s">
        <v>99</v>
      </c>
      <c r="D16" s="70">
        <v>1</v>
      </c>
      <c r="E16" s="85" t="s">
        <v>100</v>
      </c>
      <c r="F16" s="93" t="str">
        <f t="shared" si="1"/>
        <v>形式OK</v>
      </c>
      <c r="G16" s="75"/>
      <c r="H16" s="102" t="s">
        <v>96</v>
      </c>
      <c r="I16" s="102"/>
      <c r="J16" s="102" t="s">
        <v>101</v>
      </c>
      <c r="K16" s="103"/>
      <c r="L16" s="105"/>
      <c r="M16" s="12" t="b">
        <f t="shared" si="0"/>
        <v>1</v>
      </c>
    </row>
    <row r="17" spans="2:13" ht="22.5">
      <c r="B17" s="26">
        <v>5</v>
      </c>
      <c r="C17" s="68" t="s">
        <v>99</v>
      </c>
      <c r="D17" s="70">
        <v>2</v>
      </c>
      <c r="E17" s="85" t="s">
        <v>102</v>
      </c>
      <c r="F17" s="93" t="str">
        <f t="shared" si="1"/>
        <v>形式OK</v>
      </c>
      <c r="G17" s="75"/>
      <c r="H17" s="102"/>
      <c r="I17" s="102"/>
      <c r="J17" s="102"/>
      <c r="K17" s="103" t="s">
        <v>74</v>
      </c>
      <c r="L17" s="105"/>
      <c r="M17" s="12" t="b">
        <f t="shared" si="0"/>
        <v>1</v>
      </c>
    </row>
    <row r="18" spans="2:13" ht="22.5">
      <c r="B18" s="26">
        <v>6</v>
      </c>
      <c r="C18" s="68" t="s">
        <v>99</v>
      </c>
      <c r="D18" s="70">
        <v>3</v>
      </c>
      <c r="E18" s="85" t="s">
        <v>103</v>
      </c>
      <c r="F18" s="93" t="s">
        <v>104</v>
      </c>
      <c r="G18" s="75"/>
      <c r="H18" s="102"/>
      <c r="I18" s="102"/>
      <c r="J18" s="102"/>
      <c r="K18" s="103"/>
      <c r="L18" s="105"/>
      <c r="M18" s="12" t="b">
        <f t="shared" si="0"/>
        <v>1</v>
      </c>
    </row>
    <row r="19" spans="2:13" ht="22.5">
      <c r="B19" s="26">
        <v>7</v>
      </c>
      <c r="C19" s="68" t="s">
        <v>68</v>
      </c>
      <c r="D19" s="70"/>
      <c r="E19" s="84" t="s">
        <v>105</v>
      </c>
      <c r="F19" s="93" t="s">
        <v>104</v>
      </c>
      <c r="G19" s="75"/>
      <c r="H19" s="102"/>
      <c r="I19" s="102"/>
      <c r="J19" s="102"/>
      <c r="K19" s="103"/>
      <c r="L19" s="105"/>
      <c r="M19" s="12" t="b">
        <f t="shared" si="0"/>
        <v>1</v>
      </c>
    </row>
    <row r="20" spans="2:13" ht="22.5">
      <c r="B20" s="26">
        <v>8</v>
      </c>
      <c r="C20" s="68" t="s">
        <v>68</v>
      </c>
      <c r="D20" s="70"/>
      <c r="E20" s="84" t="s">
        <v>106</v>
      </c>
      <c r="F20" s="93" t="s">
        <v>104</v>
      </c>
      <c r="G20" s="75"/>
      <c r="H20" s="102"/>
      <c r="I20" s="102"/>
      <c r="J20" s="102"/>
      <c r="K20" s="103"/>
      <c r="L20" s="105"/>
      <c r="M20" s="12" t="b">
        <f t="shared" si="0"/>
        <v>1</v>
      </c>
    </row>
    <row r="21" spans="2:13" ht="22.5">
      <c r="B21" s="26">
        <v>9</v>
      </c>
      <c r="C21" s="68" t="s">
        <v>99</v>
      </c>
      <c r="D21" s="70"/>
      <c r="E21" s="85" t="s">
        <v>107</v>
      </c>
      <c r="F21" s="93" t="s">
        <v>104</v>
      </c>
      <c r="G21" s="75"/>
      <c r="H21" s="102"/>
      <c r="I21" s="102"/>
      <c r="J21" s="102"/>
      <c r="K21" s="103"/>
      <c r="L21" s="105"/>
      <c r="M21" s="12" t="b">
        <f t="shared" si="0"/>
        <v>1</v>
      </c>
    </row>
    <row r="22" spans="2:13" ht="22.5">
      <c r="B22" s="26">
        <v>10</v>
      </c>
      <c r="C22" s="68" t="s">
        <v>99</v>
      </c>
      <c r="D22" s="70"/>
      <c r="E22" s="85" t="s">
        <v>108</v>
      </c>
      <c r="F22" s="93" t="s">
        <v>104</v>
      </c>
      <c r="G22" s="75"/>
      <c r="H22" s="102"/>
      <c r="I22" s="102"/>
      <c r="J22" s="102"/>
      <c r="K22" s="103"/>
      <c r="L22" s="105"/>
      <c r="M22" s="12" t="b">
        <f t="shared" si="0"/>
        <v>1</v>
      </c>
    </row>
    <row r="23" spans="2:13" ht="22.5">
      <c r="B23" s="26">
        <v>11</v>
      </c>
      <c r="C23" s="68" t="s">
        <v>99</v>
      </c>
      <c r="D23" s="70"/>
      <c r="E23" s="85" t="s">
        <v>109</v>
      </c>
      <c r="F23" s="93" t="s">
        <v>104</v>
      </c>
      <c r="G23" s="75"/>
      <c r="H23" s="102"/>
      <c r="I23" s="102"/>
      <c r="J23" s="102"/>
      <c r="K23" s="103"/>
      <c r="L23" s="105"/>
      <c r="M23" s="12" t="b">
        <f t="shared" si="0"/>
        <v>1</v>
      </c>
    </row>
    <row r="24" spans="2:13" ht="22.5">
      <c r="B24" s="26">
        <v>12</v>
      </c>
      <c r="C24" s="68"/>
      <c r="D24" s="70"/>
      <c r="E24" s="85"/>
      <c r="F24" s="93"/>
      <c r="G24" s="75"/>
      <c r="H24" s="102"/>
      <c r="I24" s="102"/>
      <c r="J24" s="102"/>
      <c r="K24" s="103"/>
      <c r="L24" s="105"/>
      <c r="M24" s="12" t="b">
        <f t="shared" si="0"/>
        <v>0</v>
      </c>
    </row>
    <row r="25" spans="2:13" ht="22.5">
      <c r="B25" s="26">
        <v>13</v>
      </c>
      <c r="C25" s="68"/>
      <c r="D25" s="70"/>
      <c r="E25" s="85"/>
      <c r="F25" s="93"/>
      <c r="G25" s="75"/>
      <c r="H25" s="102"/>
      <c r="I25" s="102"/>
      <c r="J25" s="102"/>
      <c r="K25" s="103"/>
      <c r="L25" s="105"/>
      <c r="M25" s="12" t="b">
        <f t="shared" si="0"/>
        <v>0</v>
      </c>
    </row>
    <row r="26" spans="2:13" ht="22.5">
      <c r="B26" s="26">
        <v>14</v>
      </c>
      <c r="C26" s="68"/>
      <c r="D26" s="70"/>
      <c r="E26" s="85"/>
      <c r="F26" s="93"/>
      <c r="G26" s="75"/>
      <c r="H26" s="102"/>
      <c r="I26" s="102"/>
      <c r="J26" s="102"/>
      <c r="K26" s="103"/>
      <c r="L26" s="105"/>
      <c r="M26" s="12" t="b">
        <f t="shared" si="0"/>
        <v>0</v>
      </c>
    </row>
    <row r="27" spans="2:13" ht="22.5">
      <c r="B27" s="26">
        <v>15</v>
      </c>
      <c r="C27" s="68"/>
      <c r="D27" s="70"/>
      <c r="E27" s="85"/>
      <c r="F27" s="93"/>
      <c r="G27" s="75"/>
      <c r="H27" s="102"/>
      <c r="I27" s="102"/>
      <c r="J27" s="102"/>
      <c r="K27" s="103"/>
      <c r="L27" s="105"/>
      <c r="M27" s="12" t="b">
        <f t="shared" si="0"/>
        <v>0</v>
      </c>
    </row>
    <row r="28" spans="2:13" ht="22.5">
      <c r="B28" s="26">
        <v>16</v>
      </c>
      <c r="C28" s="68"/>
      <c r="D28" s="70"/>
      <c r="E28" s="85"/>
      <c r="F28" s="93"/>
      <c r="G28" s="75"/>
      <c r="H28" s="102"/>
      <c r="I28" s="102"/>
      <c r="J28" s="102"/>
      <c r="K28" s="103"/>
      <c r="L28" s="105"/>
      <c r="M28" s="12" t="b">
        <f t="shared" si="0"/>
        <v>0</v>
      </c>
    </row>
    <row r="29" spans="2:13" ht="22.5">
      <c r="B29" s="26">
        <v>17</v>
      </c>
      <c r="C29" s="68"/>
      <c r="D29" s="70"/>
      <c r="E29" s="85"/>
      <c r="F29" s="93"/>
      <c r="G29" s="75"/>
      <c r="H29" s="102"/>
      <c r="I29" s="102"/>
      <c r="J29" s="102"/>
      <c r="K29" s="103"/>
      <c r="L29" s="105"/>
      <c r="M29" s="12" t="b">
        <f t="shared" si="0"/>
        <v>0</v>
      </c>
    </row>
    <row r="30" spans="2:13" ht="22.5">
      <c r="B30" s="26">
        <v>18</v>
      </c>
      <c r="C30" s="68"/>
      <c r="D30" s="70"/>
      <c r="E30" s="85"/>
      <c r="F30" s="93"/>
      <c r="G30" s="75"/>
      <c r="H30" s="102"/>
      <c r="I30" s="102"/>
      <c r="J30" s="102"/>
      <c r="K30" s="103"/>
      <c r="L30" s="105"/>
      <c r="M30" s="12" t="b">
        <f t="shared" si="0"/>
        <v>0</v>
      </c>
    </row>
    <row r="31" spans="2:13" ht="22.5">
      <c r="B31" s="26">
        <v>19</v>
      </c>
      <c r="C31" s="68"/>
      <c r="D31" s="70"/>
      <c r="E31" s="85"/>
      <c r="F31" s="93"/>
      <c r="G31" s="75"/>
      <c r="H31" s="102"/>
      <c r="I31" s="102"/>
      <c r="J31" s="102"/>
      <c r="K31" s="103"/>
      <c r="L31" s="105"/>
      <c r="M31" s="12" t="b">
        <f t="shared" si="0"/>
        <v>0</v>
      </c>
    </row>
    <row r="32" spans="2:13" ht="22.5">
      <c r="B32" s="26">
        <v>20</v>
      </c>
      <c r="C32" s="68"/>
      <c r="D32" s="70"/>
      <c r="E32" s="85"/>
      <c r="F32" s="93"/>
      <c r="G32" s="75"/>
      <c r="H32" s="102"/>
      <c r="I32" s="102"/>
      <c r="J32" s="102"/>
      <c r="K32" s="103"/>
      <c r="L32" s="105"/>
      <c r="M32" s="12" t="b">
        <f t="shared" si="0"/>
        <v>0</v>
      </c>
    </row>
    <row r="33" spans="2:13" ht="22.5">
      <c r="B33" s="26">
        <v>21</v>
      </c>
      <c r="C33" s="68"/>
      <c r="D33" s="70"/>
      <c r="E33" s="85"/>
      <c r="F33" s="93"/>
      <c r="G33" s="75"/>
      <c r="H33" s="102"/>
      <c r="I33" s="102"/>
      <c r="J33" s="102"/>
      <c r="K33" s="103"/>
      <c r="L33" s="105"/>
      <c r="M33" s="12" t="b">
        <f t="shared" si="0"/>
        <v>0</v>
      </c>
    </row>
    <row r="34" spans="2:13" ht="22.5">
      <c r="B34" s="26">
        <v>22</v>
      </c>
      <c r="C34" s="68"/>
      <c r="D34" s="70"/>
      <c r="E34" s="85"/>
      <c r="F34" s="93"/>
      <c r="G34" s="75"/>
      <c r="H34" s="102"/>
      <c r="I34" s="102"/>
      <c r="J34" s="102"/>
      <c r="K34" s="103"/>
      <c r="L34" s="105"/>
      <c r="M34" s="12" t="b">
        <f t="shared" si="0"/>
        <v>0</v>
      </c>
    </row>
    <row r="35" spans="2:13" ht="22.5">
      <c r="B35" s="26">
        <v>23</v>
      </c>
      <c r="C35" s="68"/>
      <c r="D35" s="70"/>
      <c r="E35" s="85"/>
      <c r="F35" s="93"/>
      <c r="G35" s="75"/>
      <c r="H35" s="102"/>
      <c r="I35" s="102"/>
      <c r="J35" s="102"/>
      <c r="K35" s="103"/>
      <c r="L35" s="105"/>
      <c r="M35" s="12" t="b">
        <f t="shared" si="0"/>
        <v>0</v>
      </c>
    </row>
    <row r="36" spans="2:13" ht="22.5">
      <c r="B36" s="26">
        <v>24</v>
      </c>
      <c r="C36" s="68"/>
      <c r="D36" s="70"/>
      <c r="E36" s="85"/>
      <c r="F36" s="93"/>
      <c r="G36" s="75"/>
      <c r="H36" s="102"/>
      <c r="I36" s="102"/>
      <c r="J36" s="102"/>
      <c r="K36" s="103"/>
      <c r="L36" s="105"/>
      <c r="M36" s="12" t="b">
        <f t="shared" si="0"/>
        <v>0</v>
      </c>
    </row>
    <row r="37" spans="2:13" ht="22.5">
      <c r="B37" s="26">
        <v>25</v>
      </c>
      <c r="C37" s="77"/>
      <c r="D37" s="69"/>
      <c r="E37" s="84"/>
      <c r="F37" s="93"/>
      <c r="G37" s="75"/>
      <c r="H37" s="106"/>
      <c r="I37" s="106"/>
      <c r="J37" s="106"/>
      <c r="K37" s="103"/>
      <c r="L37" s="107"/>
      <c r="M37" s="12" t="b">
        <f t="shared" si="0"/>
        <v>0</v>
      </c>
    </row>
    <row r="38" spans="2:13" ht="22.5">
      <c r="B38" s="26">
        <v>26</v>
      </c>
      <c r="C38" s="77"/>
      <c r="D38" s="69"/>
      <c r="E38" s="84"/>
      <c r="F38" s="93"/>
      <c r="G38" s="75"/>
      <c r="H38" s="106"/>
      <c r="I38" s="106"/>
      <c r="J38" s="106"/>
      <c r="K38" s="103"/>
      <c r="L38" s="107"/>
      <c r="M38" s="12" t="b">
        <f t="shared" si="0"/>
        <v>0</v>
      </c>
    </row>
    <row r="39" spans="2:13" ht="22.5">
      <c r="B39" s="26">
        <v>27</v>
      </c>
      <c r="C39" s="77"/>
      <c r="D39" s="69"/>
      <c r="E39" s="84"/>
      <c r="F39" s="93"/>
      <c r="G39" s="75"/>
      <c r="H39" s="106"/>
      <c r="I39" s="106"/>
      <c r="J39" s="106"/>
      <c r="K39" s="103"/>
      <c r="L39" s="107"/>
      <c r="M39" s="12" t="b">
        <f t="shared" si="0"/>
        <v>0</v>
      </c>
    </row>
    <row r="40" spans="2:13" ht="22.5">
      <c r="B40" s="26">
        <v>28</v>
      </c>
      <c r="C40" s="77"/>
      <c r="D40" s="69"/>
      <c r="E40" s="84"/>
      <c r="F40" s="93"/>
      <c r="G40" s="75"/>
      <c r="H40" s="106"/>
      <c r="I40" s="106"/>
      <c r="J40" s="106"/>
      <c r="K40" s="103"/>
      <c r="L40" s="107"/>
      <c r="M40" s="12" t="b">
        <f t="shared" si="0"/>
        <v>0</v>
      </c>
    </row>
    <row r="41" spans="2:13" ht="22.5">
      <c r="B41" s="26">
        <v>29</v>
      </c>
      <c r="C41" s="77"/>
      <c r="D41" s="69"/>
      <c r="E41" s="84"/>
      <c r="F41" s="93"/>
      <c r="G41" s="75"/>
      <c r="H41" s="106"/>
      <c r="I41" s="106"/>
      <c r="J41" s="106"/>
      <c r="K41" s="103"/>
      <c r="L41" s="107"/>
      <c r="M41" s="12" t="b">
        <f t="shared" si="0"/>
        <v>0</v>
      </c>
    </row>
    <row r="42" spans="2:13" ht="22.5">
      <c r="B42" s="26">
        <v>30</v>
      </c>
      <c r="C42" s="77"/>
      <c r="D42" s="69"/>
      <c r="E42" s="84"/>
      <c r="F42" s="93"/>
      <c r="G42" s="75"/>
      <c r="H42" s="106"/>
      <c r="I42" s="106"/>
      <c r="J42" s="106"/>
      <c r="K42" s="103"/>
      <c r="L42" s="107"/>
      <c r="M42" s="12" t="b">
        <f t="shared" si="0"/>
        <v>0</v>
      </c>
    </row>
    <row r="43" spans="2:13" ht="22.5">
      <c r="B43" s="26">
        <v>31</v>
      </c>
      <c r="C43" s="77"/>
      <c r="D43" s="69"/>
      <c r="E43" s="84"/>
      <c r="F43" s="93"/>
      <c r="G43" s="75"/>
      <c r="H43" s="106"/>
      <c r="I43" s="106"/>
      <c r="J43" s="106"/>
      <c r="K43" s="103"/>
      <c r="L43" s="107"/>
      <c r="M43" s="12" t="b">
        <f t="shared" si="0"/>
        <v>0</v>
      </c>
    </row>
    <row r="44" spans="2:13" ht="22.5">
      <c r="B44" s="26">
        <v>32</v>
      </c>
      <c r="C44" s="77"/>
      <c r="D44" s="69"/>
      <c r="E44" s="84"/>
      <c r="F44" s="93"/>
      <c r="G44" s="75"/>
      <c r="H44" s="106"/>
      <c r="I44" s="106"/>
      <c r="J44" s="106"/>
      <c r="K44" s="103"/>
      <c r="L44" s="107"/>
      <c r="M44" s="12" t="b">
        <f t="shared" si="0"/>
        <v>0</v>
      </c>
    </row>
    <row r="45" spans="2:13" ht="22.5">
      <c r="B45" s="26">
        <v>33</v>
      </c>
      <c r="C45" s="77"/>
      <c r="D45" s="69"/>
      <c r="E45" s="84"/>
      <c r="F45" s="93"/>
      <c r="G45" s="75"/>
      <c r="H45" s="106"/>
      <c r="I45" s="106"/>
      <c r="J45" s="106"/>
      <c r="K45" s="103"/>
      <c r="L45" s="107"/>
      <c r="M45" s="12" t="b">
        <f t="shared" si="0"/>
        <v>0</v>
      </c>
    </row>
    <row r="46" spans="2:13" ht="22.5">
      <c r="B46" s="26">
        <v>34</v>
      </c>
      <c r="C46" s="77"/>
      <c r="D46" s="69"/>
      <c r="E46" s="84"/>
      <c r="F46" s="93"/>
      <c r="G46" s="75"/>
      <c r="H46" s="106"/>
      <c r="I46" s="106"/>
      <c r="J46" s="106"/>
      <c r="K46" s="103"/>
      <c r="L46" s="107"/>
      <c r="M46" s="12" t="b">
        <f t="shared" si="0"/>
        <v>0</v>
      </c>
    </row>
    <row r="47" spans="2:13" ht="22.5">
      <c r="B47" s="26">
        <v>35</v>
      </c>
      <c r="C47" s="77"/>
      <c r="D47" s="69"/>
      <c r="E47" s="84"/>
      <c r="F47" s="93"/>
      <c r="G47" s="75"/>
      <c r="H47" s="106"/>
      <c r="I47" s="106"/>
      <c r="J47" s="106"/>
      <c r="K47" s="103"/>
      <c r="L47" s="107"/>
      <c r="M47" s="12" t="b">
        <f t="shared" si="0"/>
        <v>0</v>
      </c>
    </row>
    <row r="48" spans="2:13" ht="22.5">
      <c r="B48" s="26">
        <v>36</v>
      </c>
      <c r="C48" s="77"/>
      <c r="D48" s="69"/>
      <c r="E48" s="84"/>
      <c r="F48" s="93"/>
      <c r="G48" s="75"/>
      <c r="H48" s="106"/>
      <c r="I48" s="106"/>
      <c r="J48" s="106"/>
      <c r="K48" s="103"/>
      <c r="L48" s="107"/>
      <c r="M48" s="12" t="b">
        <f t="shared" si="0"/>
        <v>0</v>
      </c>
    </row>
    <row r="49" spans="2:13" ht="22.5">
      <c r="B49" s="26">
        <v>37</v>
      </c>
      <c r="C49" s="77"/>
      <c r="D49" s="69"/>
      <c r="E49" s="84"/>
      <c r="F49" s="93"/>
      <c r="G49" s="75"/>
      <c r="H49" s="106"/>
      <c r="I49" s="106"/>
      <c r="J49" s="106"/>
      <c r="K49" s="103"/>
      <c r="L49" s="107"/>
      <c r="M49" s="12" t="b">
        <f t="shared" si="0"/>
        <v>0</v>
      </c>
    </row>
    <row r="50" spans="2:13" ht="22.5">
      <c r="B50" s="26">
        <v>38</v>
      </c>
      <c r="C50" s="77"/>
      <c r="D50" s="69"/>
      <c r="E50" s="84"/>
      <c r="F50" s="93"/>
      <c r="G50" s="75"/>
      <c r="H50" s="106"/>
      <c r="I50" s="106"/>
      <c r="J50" s="106"/>
      <c r="K50" s="103"/>
      <c r="L50" s="107"/>
      <c r="M50" s="12" t="b">
        <f t="shared" si="0"/>
        <v>0</v>
      </c>
    </row>
    <row r="51" spans="2:13" ht="22.5">
      <c r="B51" s="26">
        <v>39</v>
      </c>
      <c r="C51" s="77"/>
      <c r="D51" s="69"/>
      <c r="E51" s="84"/>
      <c r="F51" s="93"/>
      <c r="G51" s="75"/>
      <c r="H51" s="106"/>
      <c r="I51" s="106"/>
      <c r="J51" s="106"/>
      <c r="K51" s="103"/>
      <c r="L51" s="107"/>
      <c r="M51" s="12" t="b">
        <f t="shared" si="0"/>
        <v>0</v>
      </c>
    </row>
    <row r="52" spans="2:13" ht="22.5">
      <c r="B52" s="26">
        <v>40</v>
      </c>
      <c r="C52" s="77"/>
      <c r="D52" s="69"/>
      <c r="E52" s="84"/>
      <c r="F52" s="93"/>
      <c r="G52" s="75"/>
      <c r="H52" s="106"/>
      <c r="I52" s="106"/>
      <c r="J52" s="106"/>
      <c r="K52" s="103"/>
      <c r="L52" s="107"/>
      <c r="M52" s="12" t="b">
        <f t="shared" si="0"/>
        <v>0</v>
      </c>
    </row>
    <row r="53" spans="2:13" ht="22.5">
      <c r="B53" s="26">
        <v>41</v>
      </c>
      <c r="C53" s="77"/>
      <c r="D53" s="69"/>
      <c r="E53" s="84"/>
      <c r="F53" s="93"/>
      <c r="G53" s="75"/>
      <c r="H53" s="106"/>
      <c r="I53" s="106"/>
      <c r="J53" s="106"/>
      <c r="K53" s="103"/>
      <c r="L53" s="107"/>
      <c r="M53" s="12" t="b">
        <f t="shared" si="0"/>
        <v>0</v>
      </c>
    </row>
    <row r="54" spans="2:13" ht="22.5">
      <c r="B54" s="26">
        <v>42</v>
      </c>
      <c r="C54" s="77"/>
      <c r="D54" s="69"/>
      <c r="E54" s="84"/>
      <c r="F54" s="93"/>
      <c r="G54" s="75"/>
      <c r="H54" s="106"/>
      <c r="I54" s="106"/>
      <c r="J54" s="106"/>
      <c r="K54" s="103"/>
      <c r="L54" s="107"/>
      <c r="M54" s="12" t="b">
        <f t="shared" si="0"/>
        <v>0</v>
      </c>
    </row>
    <row r="55" spans="2:13" ht="22.5">
      <c r="B55" s="26">
        <v>43</v>
      </c>
      <c r="C55" s="77"/>
      <c r="D55" s="69"/>
      <c r="E55" s="84"/>
      <c r="F55" s="93"/>
      <c r="G55" s="75"/>
      <c r="H55" s="106"/>
      <c r="I55" s="106"/>
      <c r="J55" s="106"/>
      <c r="K55" s="103"/>
      <c r="L55" s="107"/>
      <c r="M55" s="12" t="b">
        <f t="shared" si="0"/>
        <v>0</v>
      </c>
    </row>
    <row r="56" spans="2:13" ht="22.5">
      <c r="B56" s="26">
        <v>44</v>
      </c>
      <c r="C56" s="77"/>
      <c r="D56" s="69"/>
      <c r="E56" s="84"/>
      <c r="F56" s="93"/>
      <c r="G56" s="75"/>
      <c r="H56" s="106"/>
      <c r="I56" s="106"/>
      <c r="J56" s="106"/>
      <c r="K56" s="103"/>
      <c r="L56" s="107"/>
      <c r="M56" s="12" t="b">
        <f t="shared" si="0"/>
        <v>0</v>
      </c>
    </row>
    <row r="57" spans="2:13" ht="22.5">
      <c r="B57" s="26">
        <v>45</v>
      </c>
      <c r="C57" s="77"/>
      <c r="D57" s="69"/>
      <c r="E57" s="84"/>
      <c r="F57" s="93"/>
      <c r="G57" s="75"/>
      <c r="H57" s="106"/>
      <c r="I57" s="106"/>
      <c r="J57" s="106"/>
      <c r="K57" s="103"/>
      <c r="L57" s="107"/>
      <c r="M57" s="12" t="b">
        <f t="shared" si="0"/>
        <v>0</v>
      </c>
    </row>
    <row r="58" spans="2:13" ht="22.5">
      <c r="B58" s="26">
        <v>46</v>
      </c>
      <c r="C58" s="77"/>
      <c r="D58" s="69"/>
      <c r="E58" s="84"/>
      <c r="F58" s="93"/>
      <c r="G58" s="75"/>
      <c r="H58" s="106"/>
      <c r="I58" s="106"/>
      <c r="J58" s="106"/>
      <c r="K58" s="103"/>
      <c r="L58" s="107"/>
      <c r="M58" s="12" t="b">
        <f t="shared" si="0"/>
        <v>0</v>
      </c>
    </row>
    <row r="59" spans="2:13" ht="22.5">
      <c r="B59" s="26">
        <v>47</v>
      </c>
      <c r="C59" s="77"/>
      <c r="D59" s="69"/>
      <c r="E59" s="84"/>
      <c r="F59" s="93"/>
      <c r="G59" s="75"/>
      <c r="H59" s="106"/>
      <c r="I59" s="106"/>
      <c r="J59" s="106"/>
      <c r="K59" s="103"/>
      <c r="L59" s="107"/>
      <c r="M59" s="12" t="b">
        <f t="shared" si="0"/>
        <v>0</v>
      </c>
    </row>
    <row r="60" spans="2:13" ht="22.5">
      <c r="B60" s="26">
        <v>48</v>
      </c>
      <c r="C60" s="77"/>
      <c r="D60" s="69"/>
      <c r="E60" s="84"/>
      <c r="F60" s="93"/>
      <c r="G60" s="75"/>
      <c r="H60" s="106"/>
      <c r="I60" s="106"/>
      <c r="J60" s="106"/>
      <c r="K60" s="103"/>
      <c r="L60" s="107"/>
      <c r="M60" s="12" t="b">
        <f t="shared" si="0"/>
        <v>0</v>
      </c>
    </row>
    <row r="61" spans="2:13" ht="22.5">
      <c r="B61" s="26">
        <v>49</v>
      </c>
      <c r="C61" s="77"/>
      <c r="D61" s="69"/>
      <c r="E61" s="84"/>
      <c r="F61" s="93"/>
      <c r="G61" s="75"/>
      <c r="H61" s="106"/>
      <c r="I61" s="106"/>
      <c r="J61" s="106"/>
      <c r="K61" s="103"/>
      <c r="L61" s="107"/>
      <c r="M61" s="12" t="b">
        <f t="shared" si="0"/>
        <v>0</v>
      </c>
    </row>
    <row r="62" spans="2:13" ht="22.5">
      <c r="B62" s="26">
        <v>50</v>
      </c>
      <c r="C62" s="77"/>
      <c r="D62" s="69"/>
      <c r="E62" s="84"/>
      <c r="F62" s="93"/>
      <c r="G62" s="75"/>
      <c r="H62" s="106"/>
      <c r="I62" s="106"/>
      <c r="J62" s="106"/>
      <c r="K62" s="103"/>
      <c r="L62" s="107"/>
      <c r="M62" s="12" t="b">
        <f t="shared" si="0"/>
        <v>0</v>
      </c>
    </row>
    <row r="63" spans="2:13" ht="22.5">
      <c r="B63" s="26">
        <v>51</v>
      </c>
      <c r="C63" s="77"/>
      <c r="D63" s="69"/>
      <c r="E63" s="84"/>
      <c r="F63" s="93"/>
      <c r="G63" s="75"/>
      <c r="H63" s="106"/>
      <c r="I63" s="106"/>
      <c r="J63" s="106"/>
      <c r="K63" s="103"/>
      <c r="L63" s="107"/>
      <c r="M63" s="12" t="b">
        <f t="shared" si="0"/>
        <v>0</v>
      </c>
    </row>
    <row r="64" spans="2:13" ht="22.5">
      <c r="B64" s="26">
        <v>52</v>
      </c>
      <c r="C64" s="77"/>
      <c r="D64" s="69"/>
      <c r="E64" s="84"/>
      <c r="F64" s="93"/>
      <c r="G64" s="75"/>
      <c r="H64" s="106"/>
      <c r="I64" s="106"/>
      <c r="J64" s="106"/>
      <c r="K64" s="103"/>
      <c r="L64" s="107"/>
      <c r="M64" s="12" t="b">
        <f t="shared" si="0"/>
        <v>0</v>
      </c>
    </row>
    <row r="65" spans="2:13" ht="22.5">
      <c r="B65" s="26">
        <v>53</v>
      </c>
      <c r="C65" s="77"/>
      <c r="D65" s="69"/>
      <c r="E65" s="84"/>
      <c r="F65" s="93"/>
      <c r="G65" s="75"/>
      <c r="H65" s="106"/>
      <c r="I65" s="106"/>
      <c r="J65" s="106"/>
      <c r="K65" s="103"/>
      <c r="L65" s="107"/>
      <c r="M65" s="12" t="b">
        <f t="shared" si="0"/>
        <v>0</v>
      </c>
    </row>
    <row r="66" spans="2:13" ht="22.5">
      <c r="B66" s="26">
        <v>54</v>
      </c>
      <c r="C66" s="77"/>
      <c r="D66" s="69"/>
      <c r="E66" s="84"/>
      <c r="F66" s="93"/>
      <c r="G66" s="75"/>
      <c r="H66" s="106"/>
      <c r="I66" s="106"/>
      <c r="J66" s="106"/>
      <c r="K66" s="103"/>
      <c r="L66" s="107"/>
      <c r="M66" s="12" t="b">
        <f t="shared" si="0"/>
        <v>0</v>
      </c>
    </row>
    <row r="67" spans="2:13" ht="22.5">
      <c r="B67" s="26">
        <v>55</v>
      </c>
      <c r="C67" s="77"/>
      <c r="D67" s="69"/>
      <c r="E67" s="84"/>
      <c r="F67" s="93"/>
      <c r="G67" s="75"/>
      <c r="H67" s="106"/>
      <c r="I67" s="106"/>
      <c r="J67" s="106"/>
      <c r="K67" s="103"/>
      <c r="L67" s="107"/>
      <c r="M67" s="12" t="b">
        <f t="shared" si="0"/>
        <v>0</v>
      </c>
    </row>
    <row r="68" spans="2:13" ht="22.5">
      <c r="B68" s="26">
        <v>56</v>
      </c>
      <c r="C68" s="77"/>
      <c r="D68" s="69"/>
      <c r="E68" s="84"/>
      <c r="F68" s="93"/>
      <c r="G68" s="75"/>
      <c r="H68" s="106"/>
      <c r="I68" s="106"/>
      <c r="J68" s="106"/>
      <c r="K68" s="103"/>
      <c r="L68" s="107"/>
      <c r="M68" s="12" t="b">
        <f t="shared" si="0"/>
        <v>0</v>
      </c>
    </row>
    <row r="69" spans="2:13" ht="22.5">
      <c r="B69" s="26">
        <v>57</v>
      </c>
      <c r="C69" s="77"/>
      <c r="D69" s="69"/>
      <c r="E69" s="84"/>
      <c r="F69" s="93"/>
      <c r="G69" s="75"/>
      <c r="H69" s="106"/>
      <c r="I69" s="106"/>
      <c r="J69" s="106"/>
      <c r="K69" s="103"/>
      <c r="L69" s="107"/>
      <c r="M69" s="12" t="b">
        <f t="shared" si="0"/>
        <v>0</v>
      </c>
    </row>
    <row r="70" spans="2:13" ht="22.5">
      <c r="B70" s="26">
        <v>58</v>
      </c>
      <c r="C70" s="77"/>
      <c r="D70" s="69"/>
      <c r="E70" s="84"/>
      <c r="F70" s="93"/>
      <c r="G70" s="75"/>
      <c r="H70" s="106"/>
      <c r="I70" s="106"/>
      <c r="J70" s="106"/>
      <c r="K70" s="103"/>
      <c r="L70" s="107"/>
      <c r="M70" s="12" t="b">
        <f t="shared" si="0"/>
        <v>0</v>
      </c>
    </row>
    <row r="71" spans="2:13" ht="22.5">
      <c r="B71" s="26">
        <v>59</v>
      </c>
      <c r="C71" s="77"/>
      <c r="D71" s="69"/>
      <c r="E71" s="84"/>
      <c r="F71" s="93"/>
      <c r="G71" s="75"/>
      <c r="H71" s="106"/>
      <c r="I71" s="106"/>
      <c r="J71" s="106"/>
      <c r="K71" s="103"/>
      <c r="L71" s="107"/>
      <c r="M71" s="12" t="b">
        <f t="shared" si="0"/>
        <v>0</v>
      </c>
    </row>
    <row r="72" spans="2:13" ht="22.5">
      <c r="B72" s="26">
        <v>60</v>
      </c>
      <c r="C72" s="77"/>
      <c r="D72" s="69"/>
      <c r="E72" s="84"/>
      <c r="F72" s="93"/>
      <c r="G72" s="75"/>
      <c r="H72" s="106"/>
      <c r="I72" s="106"/>
      <c r="J72" s="106"/>
      <c r="K72" s="103"/>
      <c r="L72" s="107"/>
      <c r="M72" s="12" t="b">
        <f t="shared" si="0"/>
        <v>0</v>
      </c>
    </row>
    <row r="73" spans="2:13" ht="22.5">
      <c r="B73" s="26">
        <v>61</v>
      </c>
      <c r="C73" s="77"/>
      <c r="D73" s="69"/>
      <c r="E73" s="84"/>
      <c r="F73" s="93"/>
      <c r="G73" s="75"/>
      <c r="H73" s="106"/>
      <c r="I73" s="106"/>
      <c r="J73" s="106"/>
      <c r="K73" s="103"/>
      <c r="L73" s="107"/>
      <c r="M73" s="12" t="b">
        <f t="shared" si="0"/>
        <v>0</v>
      </c>
    </row>
    <row r="74" spans="2:13" ht="22.5">
      <c r="B74" s="26">
        <v>62</v>
      </c>
      <c r="C74" s="77"/>
      <c r="D74" s="69"/>
      <c r="E74" s="84"/>
      <c r="F74" s="93"/>
      <c r="G74" s="75"/>
      <c r="H74" s="106"/>
      <c r="I74" s="106"/>
      <c r="J74" s="106"/>
      <c r="K74" s="103"/>
      <c r="L74" s="107"/>
      <c r="M74" s="12" t="b">
        <f t="shared" si="0"/>
        <v>0</v>
      </c>
    </row>
    <row r="75" spans="2:13" ht="22.5">
      <c r="B75" s="26">
        <v>63</v>
      </c>
      <c r="C75" s="77"/>
      <c r="D75" s="69"/>
      <c r="E75" s="84"/>
      <c r="F75" s="93"/>
      <c r="G75" s="75"/>
      <c r="H75" s="106"/>
      <c r="I75" s="106"/>
      <c r="J75" s="106"/>
      <c r="K75" s="103"/>
      <c r="L75" s="107"/>
      <c r="M75" s="12" t="b">
        <f t="shared" si="0"/>
        <v>0</v>
      </c>
    </row>
    <row r="76" spans="2:13" ht="22.5">
      <c r="B76" s="26">
        <v>64</v>
      </c>
      <c r="C76" s="77"/>
      <c r="D76" s="69"/>
      <c r="E76" s="84"/>
      <c r="F76" s="93"/>
      <c r="G76" s="75"/>
      <c r="H76" s="106"/>
      <c r="I76" s="106"/>
      <c r="J76" s="106"/>
      <c r="K76" s="103"/>
      <c r="L76" s="107"/>
      <c r="M76" s="12" t="b">
        <f t="shared" si="0"/>
        <v>0</v>
      </c>
    </row>
    <row r="77" spans="2:13" ht="22.5">
      <c r="B77" s="26">
        <v>65</v>
      </c>
      <c r="C77" s="77"/>
      <c r="D77" s="69"/>
      <c r="E77" s="84"/>
      <c r="F77" s="93"/>
      <c r="G77" s="75"/>
      <c r="H77" s="106"/>
      <c r="I77" s="106"/>
      <c r="J77" s="106"/>
      <c r="K77" s="103"/>
      <c r="L77" s="107"/>
      <c r="M77" s="12" t="b">
        <f t="shared" ref="M77:M140" si="2">IF(COUNTA(E77:G77)=0,FALSE,TRUE)</f>
        <v>0</v>
      </c>
    </row>
    <row r="78" spans="2:13" ht="22.5">
      <c r="B78" s="26">
        <v>66</v>
      </c>
      <c r="C78" s="77"/>
      <c r="D78" s="69"/>
      <c r="E78" s="84"/>
      <c r="F78" s="93"/>
      <c r="G78" s="75"/>
      <c r="H78" s="106"/>
      <c r="I78" s="106"/>
      <c r="J78" s="106"/>
      <c r="K78" s="103"/>
      <c r="L78" s="107"/>
      <c r="M78" s="12" t="b">
        <f t="shared" si="2"/>
        <v>0</v>
      </c>
    </row>
    <row r="79" spans="2:13" ht="22.5">
      <c r="B79" s="26">
        <v>67</v>
      </c>
      <c r="C79" s="77"/>
      <c r="D79" s="69"/>
      <c r="E79" s="84"/>
      <c r="F79" s="93"/>
      <c r="G79" s="75"/>
      <c r="H79" s="106"/>
      <c r="I79" s="106"/>
      <c r="J79" s="106"/>
      <c r="K79" s="103"/>
      <c r="L79" s="107"/>
      <c r="M79" s="12" t="b">
        <f t="shared" si="2"/>
        <v>0</v>
      </c>
    </row>
    <row r="80" spans="2:13" ht="22.5">
      <c r="B80" s="26">
        <v>68</v>
      </c>
      <c r="C80" s="77"/>
      <c r="D80" s="69"/>
      <c r="E80" s="84"/>
      <c r="F80" s="93"/>
      <c r="G80" s="75"/>
      <c r="H80" s="106"/>
      <c r="I80" s="106"/>
      <c r="J80" s="106"/>
      <c r="K80" s="103"/>
      <c r="L80" s="107"/>
      <c r="M80" s="12" t="b">
        <f t="shared" si="2"/>
        <v>0</v>
      </c>
    </row>
    <row r="81" spans="2:13" ht="22.5">
      <c r="B81" s="26">
        <v>69</v>
      </c>
      <c r="C81" s="77"/>
      <c r="D81" s="69"/>
      <c r="E81" s="84"/>
      <c r="F81" s="93"/>
      <c r="G81" s="75"/>
      <c r="H81" s="106"/>
      <c r="I81" s="106"/>
      <c r="J81" s="106"/>
      <c r="K81" s="103"/>
      <c r="L81" s="107"/>
      <c r="M81" s="12" t="b">
        <f t="shared" si="2"/>
        <v>0</v>
      </c>
    </row>
    <row r="82" spans="2:13" ht="22.5">
      <c r="B82" s="26">
        <v>70</v>
      </c>
      <c r="C82" s="77"/>
      <c r="D82" s="69"/>
      <c r="E82" s="84"/>
      <c r="F82" s="93"/>
      <c r="G82" s="75"/>
      <c r="H82" s="106"/>
      <c r="I82" s="106"/>
      <c r="J82" s="106"/>
      <c r="K82" s="103"/>
      <c r="L82" s="107"/>
      <c r="M82" s="12" t="b">
        <f t="shared" si="2"/>
        <v>0</v>
      </c>
    </row>
    <row r="83" spans="2:13" ht="22.5">
      <c r="B83" s="26">
        <v>71</v>
      </c>
      <c r="C83" s="77"/>
      <c r="D83" s="69"/>
      <c r="E83" s="84"/>
      <c r="F83" s="93"/>
      <c r="G83" s="75"/>
      <c r="H83" s="106"/>
      <c r="I83" s="106"/>
      <c r="J83" s="106"/>
      <c r="K83" s="103"/>
      <c r="L83" s="107"/>
      <c r="M83" s="12" t="b">
        <f t="shared" si="2"/>
        <v>0</v>
      </c>
    </row>
    <row r="84" spans="2:13" ht="22.5">
      <c r="B84" s="26">
        <v>72</v>
      </c>
      <c r="C84" s="77"/>
      <c r="D84" s="69"/>
      <c r="E84" s="84"/>
      <c r="F84" s="93"/>
      <c r="G84" s="75"/>
      <c r="H84" s="106"/>
      <c r="I84" s="106"/>
      <c r="J84" s="106"/>
      <c r="K84" s="103"/>
      <c r="L84" s="107"/>
      <c r="M84" s="12" t="b">
        <f t="shared" si="2"/>
        <v>0</v>
      </c>
    </row>
    <row r="85" spans="2:13" ht="22.5">
      <c r="B85" s="26">
        <v>73</v>
      </c>
      <c r="C85" s="77"/>
      <c r="D85" s="69"/>
      <c r="E85" s="84"/>
      <c r="F85" s="93"/>
      <c r="G85" s="75"/>
      <c r="H85" s="106"/>
      <c r="I85" s="106"/>
      <c r="J85" s="106"/>
      <c r="K85" s="103"/>
      <c r="L85" s="107"/>
      <c r="M85" s="12" t="b">
        <f t="shared" si="2"/>
        <v>0</v>
      </c>
    </row>
    <row r="86" spans="2:13" ht="22.5">
      <c r="B86" s="26">
        <v>74</v>
      </c>
      <c r="C86" s="77"/>
      <c r="D86" s="69"/>
      <c r="E86" s="84"/>
      <c r="F86" s="93"/>
      <c r="G86" s="75"/>
      <c r="H86" s="106"/>
      <c r="I86" s="106"/>
      <c r="J86" s="106"/>
      <c r="K86" s="103"/>
      <c r="L86" s="107"/>
      <c r="M86" s="12" t="b">
        <f t="shared" si="2"/>
        <v>0</v>
      </c>
    </row>
    <row r="87" spans="2:13" ht="22.5">
      <c r="B87" s="26">
        <v>75</v>
      </c>
      <c r="C87" s="77"/>
      <c r="D87" s="69"/>
      <c r="E87" s="84"/>
      <c r="F87" s="93"/>
      <c r="G87" s="75"/>
      <c r="H87" s="106"/>
      <c r="I87" s="106"/>
      <c r="J87" s="106"/>
      <c r="K87" s="103"/>
      <c r="L87" s="107"/>
      <c r="M87" s="12" t="b">
        <f t="shared" si="2"/>
        <v>0</v>
      </c>
    </row>
    <row r="88" spans="2:13" ht="22.5">
      <c r="B88" s="26">
        <v>76</v>
      </c>
      <c r="C88" s="77"/>
      <c r="D88" s="69"/>
      <c r="E88" s="84"/>
      <c r="F88" s="93"/>
      <c r="G88" s="75"/>
      <c r="H88" s="106"/>
      <c r="I88" s="106"/>
      <c r="J88" s="106"/>
      <c r="K88" s="103"/>
      <c r="L88" s="107"/>
      <c r="M88" s="12" t="b">
        <f t="shared" si="2"/>
        <v>0</v>
      </c>
    </row>
    <row r="89" spans="2:13" ht="22.5">
      <c r="B89" s="26">
        <v>77</v>
      </c>
      <c r="C89" s="77"/>
      <c r="D89" s="69"/>
      <c r="E89" s="84"/>
      <c r="F89" s="93"/>
      <c r="G89" s="75"/>
      <c r="H89" s="106"/>
      <c r="I89" s="106"/>
      <c r="J89" s="106"/>
      <c r="K89" s="103"/>
      <c r="L89" s="107"/>
      <c r="M89" s="12" t="b">
        <f t="shared" si="2"/>
        <v>0</v>
      </c>
    </row>
    <row r="90" spans="2:13" ht="22.5">
      <c r="B90" s="26">
        <v>78</v>
      </c>
      <c r="C90" s="77"/>
      <c r="D90" s="69"/>
      <c r="E90" s="84"/>
      <c r="F90" s="93"/>
      <c r="G90" s="75"/>
      <c r="H90" s="106"/>
      <c r="I90" s="106"/>
      <c r="J90" s="106"/>
      <c r="K90" s="103"/>
      <c r="L90" s="107"/>
      <c r="M90" s="12" t="b">
        <f t="shared" si="2"/>
        <v>0</v>
      </c>
    </row>
    <row r="91" spans="2:13" ht="22.5">
      <c r="B91" s="26">
        <v>79</v>
      </c>
      <c r="C91" s="77"/>
      <c r="D91" s="69"/>
      <c r="E91" s="84"/>
      <c r="F91" s="93"/>
      <c r="G91" s="75"/>
      <c r="H91" s="106"/>
      <c r="I91" s="106"/>
      <c r="J91" s="106"/>
      <c r="K91" s="103"/>
      <c r="L91" s="107"/>
      <c r="M91" s="12" t="b">
        <f t="shared" si="2"/>
        <v>0</v>
      </c>
    </row>
    <row r="92" spans="2:13" ht="22.5">
      <c r="B92" s="26">
        <v>80</v>
      </c>
      <c r="C92" s="77"/>
      <c r="D92" s="69"/>
      <c r="E92" s="84"/>
      <c r="F92" s="93"/>
      <c r="G92" s="75"/>
      <c r="H92" s="106"/>
      <c r="I92" s="106"/>
      <c r="J92" s="106"/>
      <c r="K92" s="103"/>
      <c r="L92" s="107"/>
      <c r="M92" s="12" t="b">
        <f t="shared" si="2"/>
        <v>0</v>
      </c>
    </row>
    <row r="93" spans="2:13" ht="22.5">
      <c r="B93" s="26">
        <v>81</v>
      </c>
      <c r="C93" s="77"/>
      <c r="D93" s="69"/>
      <c r="E93" s="84"/>
      <c r="F93" s="93"/>
      <c r="G93" s="75"/>
      <c r="H93" s="106"/>
      <c r="I93" s="106"/>
      <c r="J93" s="106"/>
      <c r="K93" s="103"/>
      <c r="L93" s="107"/>
      <c r="M93" s="12" t="b">
        <f t="shared" si="2"/>
        <v>0</v>
      </c>
    </row>
    <row r="94" spans="2:13" ht="22.5">
      <c r="B94" s="26">
        <v>82</v>
      </c>
      <c r="C94" s="77"/>
      <c r="D94" s="69"/>
      <c r="E94" s="84"/>
      <c r="F94" s="93"/>
      <c r="G94" s="75"/>
      <c r="H94" s="106"/>
      <c r="I94" s="106"/>
      <c r="J94" s="106"/>
      <c r="K94" s="103"/>
      <c r="L94" s="107"/>
      <c r="M94" s="12" t="b">
        <f t="shared" si="2"/>
        <v>0</v>
      </c>
    </row>
    <row r="95" spans="2:13" ht="22.5">
      <c r="B95" s="26">
        <v>83</v>
      </c>
      <c r="C95" s="77"/>
      <c r="D95" s="69"/>
      <c r="E95" s="84"/>
      <c r="F95" s="93"/>
      <c r="G95" s="75"/>
      <c r="H95" s="106"/>
      <c r="I95" s="106"/>
      <c r="J95" s="106"/>
      <c r="K95" s="103"/>
      <c r="L95" s="107"/>
      <c r="M95" s="12" t="b">
        <f t="shared" si="2"/>
        <v>0</v>
      </c>
    </row>
    <row r="96" spans="2:13" ht="22.5">
      <c r="B96" s="26">
        <v>84</v>
      </c>
      <c r="C96" s="77"/>
      <c r="D96" s="69"/>
      <c r="E96" s="84"/>
      <c r="F96" s="93"/>
      <c r="G96" s="75"/>
      <c r="H96" s="106"/>
      <c r="I96" s="106"/>
      <c r="J96" s="106"/>
      <c r="K96" s="103"/>
      <c r="L96" s="107"/>
      <c r="M96" s="12" t="b">
        <f t="shared" si="2"/>
        <v>0</v>
      </c>
    </row>
    <row r="97" spans="2:13" ht="22.5">
      <c r="B97" s="26">
        <v>85</v>
      </c>
      <c r="C97" s="77"/>
      <c r="D97" s="69"/>
      <c r="E97" s="84"/>
      <c r="F97" s="93"/>
      <c r="G97" s="75"/>
      <c r="H97" s="106"/>
      <c r="I97" s="106"/>
      <c r="J97" s="106"/>
      <c r="K97" s="103"/>
      <c r="L97" s="107"/>
      <c r="M97" s="12" t="b">
        <f t="shared" si="2"/>
        <v>0</v>
      </c>
    </row>
    <row r="98" spans="2:13" ht="22.5">
      <c r="B98" s="26">
        <v>86</v>
      </c>
      <c r="C98" s="77"/>
      <c r="D98" s="69"/>
      <c r="E98" s="84"/>
      <c r="F98" s="93"/>
      <c r="G98" s="75"/>
      <c r="H98" s="106"/>
      <c r="I98" s="106"/>
      <c r="J98" s="106"/>
      <c r="K98" s="103"/>
      <c r="L98" s="107"/>
      <c r="M98" s="12" t="b">
        <f t="shared" si="2"/>
        <v>0</v>
      </c>
    </row>
    <row r="99" spans="2:13" ht="22.5">
      <c r="B99" s="26">
        <v>87</v>
      </c>
      <c r="C99" s="77"/>
      <c r="D99" s="69"/>
      <c r="E99" s="84"/>
      <c r="F99" s="93"/>
      <c r="G99" s="75"/>
      <c r="H99" s="106"/>
      <c r="I99" s="106"/>
      <c r="J99" s="106"/>
      <c r="K99" s="103"/>
      <c r="L99" s="107"/>
      <c r="M99" s="12" t="b">
        <f t="shared" si="2"/>
        <v>0</v>
      </c>
    </row>
    <row r="100" spans="2:13" ht="22.5">
      <c r="B100" s="26">
        <v>88</v>
      </c>
      <c r="C100" s="77"/>
      <c r="D100" s="69"/>
      <c r="E100" s="84"/>
      <c r="F100" s="93"/>
      <c r="G100" s="75"/>
      <c r="H100" s="106"/>
      <c r="I100" s="106"/>
      <c r="J100" s="106"/>
      <c r="K100" s="103"/>
      <c r="L100" s="107"/>
      <c r="M100" s="12" t="b">
        <f t="shared" si="2"/>
        <v>0</v>
      </c>
    </row>
    <row r="101" spans="2:13" ht="22.5">
      <c r="B101" s="26">
        <v>89</v>
      </c>
      <c r="C101" s="77"/>
      <c r="D101" s="69"/>
      <c r="E101" s="84"/>
      <c r="F101" s="93"/>
      <c r="G101" s="75"/>
      <c r="H101" s="106"/>
      <c r="I101" s="106"/>
      <c r="J101" s="106"/>
      <c r="K101" s="103"/>
      <c r="L101" s="107"/>
      <c r="M101" s="12" t="b">
        <f t="shared" si="2"/>
        <v>0</v>
      </c>
    </row>
    <row r="102" spans="2:13" ht="22.5">
      <c r="B102" s="26">
        <v>90</v>
      </c>
      <c r="C102" s="77"/>
      <c r="D102" s="69"/>
      <c r="E102" s="84"/>
      <c r="F102" s="93"/>
      <c r="G102" s="75"/>
      <c r="H102" s="106"/>
      <c r="I102" s="106"/>
      <c r="J102" s="106"/>
      <c r="K102" s="103"/>
      <c r="L102" s="107"/>
      <c r="M102" s="12" t="b">
        <f t="shared" si="2"/>
        <v>0</v>
      </c>
    </row>
    <row r="103" spans="2:13" ht="22.5">
      <c r="B103" s="26">
        <v>91</v>
      </c>
      <c r="C103" s="77"/>
      <c r="D103" s="69"/>
      <c r="E103" s="84"/>
      <c r="F103" s="93"/>
      <c r="G103" s="75"/>
      <c r="H103" s="106"/>
      <c r="I103" s="106"/>
      <c r="J103" s="106"/>
      <c r="K103" s="103"/>
      <c r="L103" s="107"/>
      <c r="M103" s="12" t="b">
        <f t="shared" si="2"/>
        <v>0</v>
      </c>
    </row>
    <row r="104" spans="2:13" ht="22.5">
      <c r="B104" s="26">
        <v>92</v>
      </c>
      <c r="C104" s="77"/>
      <c r="D104" s="69"/>
      <c r="E104" s="84"/>
      <c r="F104" s="93"/>
      <c r="G104" s="75"/>
      <c r="H104" s="106"/>
      <c r="I104" s="106"/>
      <c r="J104" s="106"/>
      <c r="K104" s="103"/>
      <c r="L104" s="107"/>
      <c r="M104" s="12" t="b">
        <f t="shared" si="2"/>
        <v>0</v>
      </c>
    </row>
    <row r="105" spans="2:13" ht="22.5">
      <c r="B105" s="26">
        <v>93</v>
      </c>
      <c r="C105" s="77"/>
      <c r="D105" s="69"/>
      <c r="E105" s="84"/>
      <c r="F105" s="93"/>
      <c r="G105" s="75"/>
      <c r="H105" s="106"/>
      <c r="I105" s="106"/>
      <c r="J105" s="106"/>
      <c r="K105" s="103"/>
      <c r="L105" s="107"/>
      <c r="M105" s="12" t="b">
        <f t="shared" si="2"/>
        <v>0</v>
      </c>
    </row>
    <row r="106" spans="2:13" ht="22.5">
      <c r="B106" s="26">
        <v>94</v>
      </c>
      <c r="C106" s="77"/>
      <c r="D106" s="69"/>
      <c r="E106" s="84"/>
      <c r="F106" s="93"/>
      <c r="G106" s="75"/>
      <c r="H106" s="106"/>
      <c r="I106" s="106"/>
      <c r="J106" s="106"/>
      <c r="K106" s="103"/>
      <c r="L106" s="107"/>
      <c r="M106" s="12" t="b">
        <f t="shared" si="2"/>
        <v>0</v>
      </c>
    </row>
    <row r="107" spans="2:13" ht="22.5">
      <c r="B107" s="26">
        <v>95</v>
      </c>
      <c r="C107" s="77"/>
      <c r="D107" s="69"/>
      <c r="E107" s="84"/>
      <c r="F107" s="93"/>
      <c r="G107" s="75"/>
      <c r="H107" s="106"/>
      <c r="I107" s="106"/>
      <c r="J107" s="106"/>
      <c r="K107" s="103"/>
      <c r="L107" s="107"/>
      <c r="M107" s="12" t="b">
        <f t="shared" si="2"/>
        <v>0</v>
      </c>
    </row>
    <row r="108" spans="2:13" ht="22.5">
      <c r="B108" s="26">
        <v>96</v>
      </c>
      <c r="C108" s="77"/>
      <c r="D108" s="69"/>
      <c r="E108" s="84"/>
      <c r="F108" s="93"/>
      <c r="G108" s="75"/>
      <c r="H108" s="106"/>
      <c r="I108" s="106"/>
      <c r="J108" s="106"/>
      <c r="K108" s="103"/>
      <c r="L108" s="107"/>
      <c r="M108" s="12" t="b">
        <f t="shared" si="2"/>
        <v>0</v>
      </c>
    </row>
    <row r="109" spans="2:13" ht="22.5">
      <c r="B109" s="26">
        <v>97</v>
      </c>
      <c r="C109" s="77"/>
      <c r="D109" s="69"/>
      <c r="E109" s="84"/>
      <c r="F109" s="93"/>
      <c r="G109" s="75"/>
      <c r="H109" s="106"/>
      <c r="I109" s="106"/>
      <c r="J109" s="106"/>
      <c r="K109" s="103"/>
      <c r="L109" s="107"/>
      <c r="M109" s="12" t="b">
        <f t="shared" si="2"/>
        <v>0</v>
      </c>
    </row>
    <row r="110" spans="2:13" ht="22.5">
      <c r="B110" s="26">
        <v>98</v>
      </c>
      <c r="C110" s="77"/>
      <c r="D110" s="69"/>
      <c r="E110" s="84"/>
      <c r="F110" s="93"/>
      <c r="G110" s="75"/>
      <c r="H110" s="106"/>
      <c r="I110" s="106"/>
      <c r="J110" s="106"/>
      <c r="K110" s="103"/>
      <c r="L110" s="107"/>
      <c r="M110" s="12" t="b">
        <f t="shared" si="2"/>
        <v>0</v>
      </c>
    </row>
    <row r="111" spans="2:13" ht="22.5">
      <c r="B111" s="26">
        <v>99</v>
      </c>
      <c r="C111" s="77"/>
      <c r="D111" s="69"/>
      <c r="E111" s="84"/>
      <c r="F111" s="93"/>
      <c r="G111" s="75"/>
      <c r="H111" s="106"/>
      <c r="I111" s="106"/>
      <c r="J111" s="106"/>
      <c r="K111" s="103"/>
      <c r="L111" s="107"/>
      <c r="M111" s="12" t="b">
        <f t="shared" si="2"/>
        <v>0</v>
      </c>
    </row>
    <row r="112" spans="2:13" ht="22.5">
      <c r="B112" s="26">
        <v>100</v>
      </c>
      <c r="C112" s="77"/>
      <c r="D112" s="69"/>
      <c r="E112" s="84"/>
      <c r="F112" s="93"/>
      <c r="G112" s="75"/>
      <c r="H112" s="106"/>
      <c r="I112" s="106"/>
      <c r="J112" s="106"/>
      <c r="K112" s="103"/>
      <c r="L112" s="107"/>
      <c r="M112" s="12" t="b">
        <f t="shared" si="2"/>
        <v>0</v>
      </c>
    </row>
    <row r="113" spans="2:13" ht="22.5">
      <c r="B113" s="26">
        <v>101</v>
      </c>
      <c r="C113" s="77"/>
      <c r="D113" s="69"/>
      <c r="E113" s="84"/>
      <c r="F113" s="93"/>
      <c r="G113" s="75"/>
      <c r="H113" s="106"/>
      <c r="I113" s="106"/>
      <c r="J113" s="106"/>
      <c r="K113" s="103"/>
      <c r="L113" s="107"/>
      <c r="M113" s="12" t="b">
        <f t="shared" si="2"/>
        <v>0</v>
      </c>
    </row>
    <row r="114" spans="2:13" ht="22.5">
      <c r="B114" s="26">
        <v>102</v>
      </c>
      <c r="C114" s="77"/>
      <c r="D114" s="69"/>
      <c r="E114" s="84"/>
      <c r="F114" s="93"/>
      <c r="G114" s="75"/>
      <c r="H114" s="106"/>
      <c r="I114" s="106"/>
      <c r="J114" s="106"/>
      <c r="K114" s="103"/>
      <c r="L114" s="107"/>
      <c r="M114" s="12" t="b">
        <f t="shared" si="2"/>
        <v>0</v>
      </c>
    </row>
    <row r="115" spans="2:13" ht="22.5">
      <c r="B115" s="26">
        <v>103</v>
      </c>
      <c r="C115" s="77"/>
      <c r="D115" s="69"/>
      <c r="E115" s="84"/>
      <c r="F115" s="93"/>
      <c r="G115" s="75"/>
      <c r="H115" s="106"/>
      <c r="I115" s="106"/>
      <c r="J115" s="106"/>
      <c r="K115" s="103"/>
      <c r="L115" s="107"/>
      <c r="M115" s="12" t="b">
        <f t="shared" si="2"/>
        <v>0</v>
      </c>
    </row>
    <row r="116" spans="2:13" ht="22.5">
      <c r="B116" s="26">
        <v>104</v>
      </c>
      <c r="C116" s="77"/>
      <c r="D116" s="69"/>
      <c r="E116" s="84"/>
      <c r="F116" s="93"/>
      <c r="G116" s="75"/>
      <c r="H116" s="106"/>
      <c r="I116" s="106"/>
      <c r="J116" s="106"/>
      <c r="K116" s="103"/>
      <c r="L116" s="107"/>
      <c r="M116" s="12" t="b">
        <f t="shared" si="2"/>
        <v>0</v>
      </c>
    </row>
    <row r="117" spans="2:13" ht="22.5">
      <c r="B117" s="26">
        <v>105</v>
      </c>
      <c r="C117" s="77"/>
      <c r="D117" s="69"/>
      <c r="E117" s="84"/>
      <c r="F117" s="93"/>
      <c r="G117" s="75"/>
      <c r="H117" s="106"/>
      <c r="I117" s="106"/>
      <c r="J117" s="106"/>
      <c r="K117" s="103"/>
      <c r="L117" s="107"/>
      <c r="M117" s="12" t="b">
        <f t="shared" si="2"/>
        <v>0</v>
      </c>
    </row>
    <row r="118" spans="2:13" ht="22.5">
      <c r="B118" s="26">
        <v>106</v>
      </c>
      <c r="C118" s="77"/>
      <c r="D118" s="69"/>
      <c r="E118" s="84"/>
      <c r="F118" s="93"/>
      <c r="G118" s="75"/>
      <c r="H118" s="106"/>
      <c r="I118" s="106"/>
      <c r="J118" s="106"/>
      <c r="K118" s="103"/>
      <c r="L118" s="107"/>
      <c r="M118" s="12" t="b">
        <f t="shared" si="2"/>
        <v>0</v>
      </c>
    </row>
    <row r="119" spans="2:13" ht="22.5">
      <c r="B119" s="26">
        <v>107</v>
      </c>
      <c r="C119" s="77"/>
      <c r="D119" s="69"/>
      <c r="E119" s="84"/>
      <c r="F119" s="93"/>
      <c r="G119" s="75"/>
      <c r="H119" s="106"/>
      <c r="I119" s="106"/>
      <c r="J119" s="106"/>
      <c r="K119" s="103"/>
      <c r="L119" s="107"/>
      <c r="M119" s="12" t="b">
        <f t="shared" si="2"/>
        <v>0</v>
      </c>
    </row>
    <row r="120" spans="2:13" ht="22.5">
      <c r="B120" s="26">
        <v>108</v>
      </c>
      <c r="C120" s="77"/>
      <c r="D120" s="69"/>
      <c r="E120" s="84"/>
      <c r="F120" s="93"/>
      <c r="G120" s="75"/>
      <c r="H120" s="106"/>
      <c r="I120" s="106"/>
      <c r="J120" s="106"/>
      <c r="K120" s="103"/>
      <c r="L120" s="107"/>
      <c r="M120" s="12" t="b">
        <f t="shared" si="2"/>
        <v>0</v>
      </c>
    </row>
    <row r="121" spans="2:13" ht="22.5">
      <c r="B121" s="26">
        <v>109</v>
      </c>
      <c r="C121" s="77"/>
      <c r="D121" s="69"/>
      <c r="E121" s="84"/>
      <c r="F121" s="93"/>
      <c r="G121" s="75"/>
      <c r="H121" s="106"/>
      <c r="I121" s="106"/>
      <c r="J121" s="106"/>
      <c r="K121" s="103"/>
      <c r="L121" s="107"/>
      <c r="M121" s="12" t="b">
        <f t="shared" si="2"/>
        <v>0</v>
      </c>
    </row>
    <row r="122" spans="2:13" ht="22.5">
      <c r="B122" s="26">
        <v>110</v>
      </c>
      <c r="C122" s="77"/>
      <c r="D122" s="69"/>
      <c r="E122" s="84"/>
      <c r="F122" s="93"/>
      <c r="G122" s="75"/>
      <c r="H122" s="106"/>
      <c r="I122" s="106"/>
      <c r="J122" s="106"/>
      <c r="K122" s="103"/>
      <c r="L122" s="107"/>
      <c r="M122" s="12" t="b">
        <f t="shared" si="2"/>
        <v>0</v>
      </c>
    </row>
    <row r="123" spans="2:13" ht="22.5">
      <c r="B123" s="26">
        <v>111</v>
      </c>
      <c r="C123" s="77"/>
      <c r="D123" s="69"/>
      <c r="E123" s="84"/>
      <c r="F123" s="93"/>
      <c r="G123" s="75"/>
      <c r="H123" s="106"/>
      <c r="I123" s="106"/>
      <c r="J123" s="106"/>
      <c r="K123" s="103"/>
      <c r="L123" s="107"/>
      <c r="M123" s="12" t="b">
        <f t="shared" si="2"/>
        <v>0</v>
      </c>
    </row>
    <row r="124" spans="2:13" ht="22.5">
      <c r="B124" s="26">
        <v>112</v>
      </c>
      <c r="C124" s="77"/>
      <c r="D124" s="69"/>
      <c r="E124" s="84"/>
      <c r="F124" s="93"/>
      <c r="G124" s="75"/>
      <c r="H124" s="106"/>
      <c r="I124" s="106"/>
      <c r="J124" s="106"/>
      <c r="K124" s="103"/>
      <c r="L124" s="107"/>
      <c r="M124" s="12" t="b">
        <f t="shared" si="2"/>
        <v>0</v>
      </c>
    </row>
    <row r="125" spans="2:13" ht="22.5">
      <c r="B125" s="26">
        <v>113</v>
      </c>
      <c r="C125" s="77"/>
      <c r="D125" s="69"/>
      <c r="E125" s="84"/>
      <c r="F125" s="93"/>
      <c r="G125" s="75"/>
      <c r="H125" s="106"/>
      <c r="I125" s="106"/>
      <c r="J125" s="106"/>
      <c r="K125" s="103"/>
      <c r="L125" s="107"/>
      <c r="M125" s="12" t="b">
        <f t="shared" si="2"/>
        <v>0</v>
      </c>
    </row>
    <row r="126" spans="2:13" ht="22.5">
      <c r="B126" s="26">
        <v>114</v>
      </c>
      <c r="C126" s="77"/>
      <c r="D126" s="69"/>
      <c r="E126" s="84"/>
      <c r="F126" s="93"/>
      <c r="G126" s="75"/>
      <c r="H126" s="106"/>
      <c r="I126" s="106"/>
      <c r="J126" s="106"/>
      <c r="K126" s="103"/>
      <c r="L126" s="107"/>
      <c r="M126" s="12" t="b">
        <f t="shared" si="2"/>
        <v>0</v>
      </c>
    </row>
    <row r="127" spans="2:13" ht="22.5">
      <c r="B127" s="26">
        <v>115</v>
      </c>
      <c r="C127" s="77"/>
      <c r="D127" s="69"/>
      <c r="E127" s="84"/>
      <c r="F127" s="93"/>
      <c r="G127" s="75"/>
      <c r="H127" s="106"/>
      <c r="I127" s="106"/>
      <c r="J127" s="106"/>
      <c r="K127" s="103"/>
      <c r="L127" s="107"/>
      <c r="M127" s="12" t="b">
        <f t="shared" si="2"/>
        <v>0</v>
      </c>
    </row>
    <row r="128" spans="2:13" ht="22.5">
      <c r="B128" s="26">
        <v>116</v>
      </c>
      <c r="C128" s="77"/>
      <c r="D128" s="69"/>
      <c r="E128" s="84"/>
      <c r="F128" s="93"/>
      <c r="G128" s="75"/>
      <c r="H128" s="106"/>
      <c r="I128" s="106"/>
      <c r="J128" s="106"/>
      <c r="K128" s="103"/>
      <c r="L128" s="107"/>
      <c r="M128" s="12" t="b">
        <f t="shared" si="2"/>
        <v>0</v>
      </c>
    </row>
    <row r="129" spans="2:13" ht="22.5">
      <c r="B129" s="26">
        <v>117</v>
      </c>
      <c r="C129" s="77"/>
      <c r="D129" s="69"/>
      <c r="E129" s="84"/>
      <c r="F129" s="93"/>
      <c r="G129" s="75"/>
      <c r="H129" s="106"/>
      <c r="I129" s="106"/>
      <c r="J129" s="106"/>
      <c r="K129" s="103"/>
      <c r="L129" s="107"/>
      <c r="M129" s="12" t="b">
        <f t="shared" si="2"/>
        <v>0</v>
      </c>
    </row>
    <row r="130" spans="2:13" ht="22.5">
      <c r="B130" s="26">
        <v>118</v>
      </c>
      <c r="C130" s="77"/>
      <c r="D130" s="69"/>
      <c r="E130" s="84"/>
      <c r="F130" s="93"/>
      <c r="G130" s="75"/>
      <c r="H130" s="106"/>
      <c r="I130" s="106"/>
      <c r="J130" s="106"/>
      <c r="K130" s="103"/>
      <c r="L130" s="107"/>
      <c r="M130" s="12" t="b">
        <f t="shared" si="2"/>
        <v>0</v>
      </c>
    </row>
    <row r="131" spans="2:13" ht="22.5">
      <c r="B131" s="26">
        <v>119</v>
      </c>
      <c r="C131" s="77"/>
      <c r="D131" s="69"/>
      <c r="E131" s="84"/>
      <c r="F131" s="93"/>
      <c r="G131" s="75"/>
      <c r="H131" s="106"/>
      <c r="I131" s="106"/>
      <c r="J131" s="106"/>
      <c r="K131" s="103"/>
      <c r="L131" s="107"/>
      <c r="M131" s="12" t="b">
        <f t="shared" si="2"/>
        <v>0</v>
      </c>
    </row>
    <row r="132" spans="2:13" ht="22.5">
      <c r="B132" s="26">
        <v>120</v>
      </c>
      <c r="C132" s="77"/>
      <c r="D132" s="69"/>
      <c r="E132" s="84"/>
      <c r="F132" s="93"/>
      <c r="G132" s="75"/>
      <c r="H132" s="106"/>
      <c r="I132" s="106"/>
      <c r="J132" s="106"/>
      <c r="K132" s="103"/>
      <c r="L132" s="107"/>
      <c r="M132" s="12" t="b">
        <f t="shared" si="2"/>
        <v>0</v>
      </c>
    </row>
    <row r="133" spans="2:13" ht="22.5">
      <c r="B133" s="26">
        <v>121</v>
      </c>
      <c r="C133" s="77"/>
      <c r="D133" s="69"/>
      <c r="E133" s="84"/>
      <c r="F133" s="93"/>
      <c r="G133" s="75"/>
      <c r="H133" s="106"/>
      <c r="I133" s="106"/>
      <c r="J133" s="106"/>
      <c r="K133" s="103"/>
      <c r="L133" s="107"/>
      <c r="M133" s="12" t="b">
        <f t="shared" si="2"/>
        <v>0</v>
      </c>
    </row>
    <row r="134" spans="2:13" ht="22.5">
      <c r="B134" s="26">
        <v>122</v>
      </c>
      <c r="C134" s="77"/>
      <c r="D134" s="69"/>
      <c r="E134" s="84"/>
      <c r="F134" s="93"/>
      <c r="G134" s="75"/>
      <c r="H134" s="106"/>
      <c r="I134" s="106"/>
      <c r="J134" s="106"/>
      <c r="K134" s="103"/>
      <c r="L134" s="107"/>
      <c r="M134" s="12" t="b">
        <f t="shared" si="2"/>
        <v>0</v>
      </c>
    </row>
    <row r="135" spans="2:13" ht="22.5">
      <c r="B135" s="26">
        <v>123</v>
      </c>
      <c r="C135" s="77"/>
      <c r="D135" s="69"/>
      <c r="E135" s="84"/>
      <c r="F135" s="93"/>
      <c r="G135" s="75"/>
      <c r="H135" s="106"/>
      <c r="I135" s="106"/>
      <c r="J135" s="106"/>
      <c r="K135" s="103"/>
      <c r="L135" s="107"/>
      <c r="M135" s="12" t="b">
        <f t="shared" si="2"/>
        <v>0</v>
      </c>
    </row>
    <row r="136" spans="2:13" ht="22.5">
      <c r="B136" s="26">
        <v>124</v>
      </c>
      <c r="C136" s="77"/>
      <c r="D136" s="69"/>
      <c r="E136" s="84"/>
      <c r="F136" s="93"/>
      <c r="G136" s="75"/>
      <c r="H136" s="106"/>
      <c r="I136" s="106"/>
      <c r="J136" s="106"/>
      <c r="K136" s="103"/>
      <c r="L136" s="107"/>
      <c r="M136" s="12" t="b">
        <f t="shared" si="2"/>
        <v>0</v>
      </c>
    </row>
    <row r="137" spans="2:13" ht="22.5">
      <c r="B137" s="26">
        <v>125</v>
      </c>
      <c r="C137" s="77"/>
      <c r="D137" s="69"/>
      <c r="E137" s="84"/>
      <c r="F137" s="93"/>
      <c r="G137" s="75"/>
      <c r="H137" s="106"/>
      <c r="I137" s="106"/>
      <c r="J137" s="106"/>
      <c r="K137" s="103"/>
      <c r="L137" s="107"/>
      <c r="M137" s="12" t="b">
        <f t="shared" si="2"/>
        <v>0</v>
      </c>
    </row>
    <row r="138" spans="2:13" ht="22.5">
      <c r="B138" s="26">
        <v>126</v>
      </c>
      <c r="C138" s="77"/>
      <c r="D138" s="69"/>
      <c r="E138" s="84"/>
      <c r="F138" s="93"/>
      <c r="G138" s="75"/>
      <c r="H138" s="106"/>
      <c r="I138" s="106"/>
      <c r="J138" s="106"/>
      <c r="K138" s="103"/>
      <c r="L138" s="107"/>
      <c r="M138" s="12" t="b">
        <f t="shared" si="2"/>
        <v>0</v>
      </c>
    </row>
    <row r="139" spans="2:13" ht="22.5">
      <c r="B139" s="26">
        <v>127</v>
      </c>
      <c r="C139" s="77"/>
      <c r="D139" s="69"/>
      <c r="E139" s="84"/>
      <c r="F139" s="93"/>
      <c r="G139" s="75"/>
      <c r="H139" s="106"/>
      <c r="I139" s="106"/>
      <c r="J139" s="106"/>
      <c r="K139" s="103"/>
      <c r="L139" s="107"/>
      <c r="M139" s="12" t="b">
        <f t="shared" si="2"/>
        <v>0</v>
      </c>
    </row>
    <row r="140" spans="2:13" ht="22.5">
      <c r="B140" s="26">
        <v>128</v>
      </c>
      <c r="C140" s="77"/>
      <c r="D140" s="69"/>
      <c r="E140" s="84"/>
      <c r="F140" s="93"/>
      <c r="G140" s="75"/>
      <c r="H140" s="106"/>
      <c r="I140" s="106"/>
      <c r="J140" s="106"/>
      <c r="K140" s="103"/>
      <c r="L140" s="107"/>
      <c r="M140" s="12" t="b">
        <f t="shared" si="2"/>
        <v>0</v>
      </c>
    </row>
    <row r="141" spans="2:13" ht="22.5">
      <c r="B141" s="26">
        <v>129</v>
      </c>
      <c r="C141" s="77"/>
      <c r="D141" s="69"/>
      <c r="E141" s="84"/>
      <c r="F141" s="93"/>
      <c r="G141" s="75"/>
      <c r="H141" s="106"/>
      <c r="I141" s="106"/>
      <c r="J141" s="106"/>
      <c r="K141" s="103"/>
      <c r="L141" s="107"/>
      <c r="M141" s="12" t="b">
        <f t="shared" ref="M141:M204" si="3">IF(COUNTA(E141:G141)=0,FALSE,TRUE)</f>
        <v>0</v>
      </c>
    </row>
    <row r="142" spans="2:13" ht="22.5">
      <c r="B142" s="26">
        <v>130</v>
      </c>
      <c r="C142" s="77"/>
      <c r="D142" s="69"/>
      <c r="E142" s="84"/>
      <c r="F142" s="93"/>
      <c r="G142" s="75"/>
      <c r="H142" s="106"/>
      <c r="I142" s="106"/>
      <c r="J142" s="106"/>
      <c r="K142" s="103"/>
      <c r="L142" s="107"/>
      <c r="M142" s="12" t="b">
        <f t="shared" si="3"/>
        <v>0</v>
      </c>
    </row>
    <row r="143" spans="2:13" ht="22.5">
      <c r="B143" s="26">
        <v>131</v>
      </c>
      <c r="C143" s="77"/>
      <c r="D143" s="69"/>
      <c r="E143" s="84"/>
      <c r="F143" s="93"/>
      <c r="G143" s="75"/>
      <c r="H143" s="106"/>
      <c r="I143" s="106"/>
      <c r="J143" s="106"/>
      <c r="K143" s="103"/>
      <c r="L143" s="107"/>
      <c r="M143" s="12" t="b">
        <f t="shared" si="3"/>
        <v>0</v>
      </c>
    </row>
    <row r="144" spans="2:13" ht="22.5">
      <c r="B144" s="26">
        <v>132</v>
      </c>
      <c r="C144" s="77"/>
      <c r="D144" s="69"/>
      <c r="E144" s="84"/>
      <c r="F144" s="93"/>
      <c r="G144" s="75"/>
      <c r="H144" s="106"/>
      <c r="I144" s="106"/>
      <c r="J144" s="106"/>
      <c r="K144" s="103"/>
      <c r="L144" s="107"/>
      <c r="M144" s="12" t="b">
        <f t="shared" si="3"/>
        <v>0</v>
      </c>
    </row>
    <row r="145" spans="2:13" ht="22.5">
      <c r="B145" s="26">
        <v>133</v>
      </c>
      <c r="C145" s="77"/>
      <c r="D145" s="69"/>
      <c r="E145" s="84"/>
      <c r="F145" s="93"/>
      <c r="G145" s="75"/>
      <c r="H145" s="106"/>
      <c r="I145" s="106"/>
      <c r="J145" s="106"/>
      <c r="K145" s="103"/>
      <c r="L145" s="107"/>
      <c r="M145" s="12" t="b">
        <f t="shared" si="3"/>
        <v>0</v>
      </c>
    </row>
    <row r="146" spans="2:13" ht="22.5">
      <c r="B146" s="26">
        <v>134</v>
      </c>
      <c r="C146" s="77"/>
      <c r="D146" s="69"/>
      <c r="E146" s="84"/>
      <c r="F146" s="93"/>
      <c r="G146" s="75"/>
      <c r="H146" s="106"/>
      <c r="I146" s="106"/>
      <c r="J146" s="106"/>
      <c r="K146" s="103"/>
      <c r="L146" s="107"/>
      <c r="M146" s="12" t="b">
        <f t="shared" si="3"/>
        <v>0</v>
      </c>
    </row>
    <row r="147" spans="2:13" ht="22.5">
      <c r="B147" s="26">
        <v>135</v>
      </c>
      <c r="C147" s="77"/>
      <c r="D147" s="69"/>
      <c r="E147" s="84"/>
      <c r="F147" s="93"/>
      <c r="G147" s="75"/>
      <c r="H147" s="106"/>
      <c r="I147" s="106"/>
      <c r="J147" s="106"/>
      <c r="K147" s="103"/>
      <c r="L147" s="107"/>
      <c r="M147" s="12" t="b">
        <f t="shared" si="3"/>
        <v>0</v>
      </c>
    </row>
    <row r="148" spans="2:13" ht="22.5">
      <c r="B148" s="26">
        <v>136</v>
      </c>
      <c r="C148" s="77"/>
      <c r="D148" s="69"/>
      <c r="E148" s="84"/>
      <c r="F148" s="93"/>
      <c r="G148" s="75"/>
      <c r="H148" s="106"/>
      <c r="I148" s="106"/>
      <c r="J148" s="106"/>
      <c r="K148" s="103"/>
      <c r="L148" s="107"/>
      <c r="M148" s="12" t="b">
        <f t="shared" si="3"/>
        <v>0</v>
      </c>
    </row>
    <row r="149" spans="2:13" ht="22.5">
      <c r="B149" s="26">
        <v>137</v>
      </c>
      <c r="C149" s="77"/>
      <c r="D149" s="69"/>
      <c r="E149" s="84"/>
      <c r="F149" s="93"/>
      <c r="G149" s="75"/>
      <c r="H149" s="106"/>
      <c r="I149" s="106"/>
      <c r="J149" s="106"/>
      <c r="K149" s="103"/>
      <c r="L149" s="107"/>
      <c r="M149" s="12" t="b">
        <f t="shared" si="3"/>
        <v>0</v>
      </c>
    </row>
    <row r="150" spans="2:13" ht="22.5">
      <c r="B150" s="26">
        <v>138</v>
      </c>
      <c r="C150" s="77"/>
      <c r="D150" s="69"/>
      <c r="E150" s="84"/>
      <c r="F150" s="93"/>
      <c r="G150" s="75"/>
      <c r="H150" s="106"/>
      <c r="I150" s="106"/>
      <c r="J150" s="106"/>
      <c r="K150" s="103"/>
      <c r="L150" s="107"/>
      <c r="M150" s="12" t="b">
        <f t="shared" si="3"/>
        <v>0</v>
      </c>
    </row>
    <row r="151" spans="2:13" ht="22.5">
      <c r="B151" s="26">
        <v>139</v>
      </c>
      <c r="C151" s="77"/>
      <c r="D151" s="69"/>
      <c r="E151" s="84"/>
      <c r="F151" s="93"/>
      <c r="G151" s="75"/>
      <c r="H151" s="106"/>
      <c r="I151" s="106"/>
      <c r="J151" s="106"/>
      <c r="K151" s="103"/>
      <c r="L151" s="107"/>
      <c r="M151" s="12" t="b">
        <f t="shared" si="3"/>
        <v>0</v>
      </c>
    </row>
    <row r="152" spans="2:13" ht="22.5">
      <c r="B152" s="26">
        <v>140</v>
      </c>
      <c r="C152" s="77"/>
      <c r="D152" s="69"/>
      <c r="E152" s="84"/>
      <c r="F152" s="93"/>
      <c r="G152" s="75"/>
      <c r="H152" s="106"/>
      <c r="I152" s="106"/>
      <c r="J152" s="106"/>
      <c r="K152" s="103"/>
      <c r="L152" s="107"/>
      <c r="M152" s="12" t="b">
        <f t="shared" si="3"/>
        <v>0</v>
      </c>
    </row>
    <row r="153" spans="2:13" ht="22.5">
      <c r="B153" s="26">
        <v>141</v>
      </c>
      <c r="C153" s="77"/>
      <c r="D153" s="69"/>
      <c r="E153" s="84"/>
      <c r="F153" s="93"/>
      <c r="G153" s="75"/>
      <c r="H153" s="106"/>
      <c r="I153" s="106"/>
      <c r="J153" s="106"/>
      <c r="K153" s="103"/>
      <c r="L153" s="107"/>
      <c r="M153" s="12" t="b">
        <f t="shared" si="3"/>
        <v>0</v>
      </c>
    </row>
    <row r="154" spans="2:13" ht="22.5">
      <c r="B154" s="26">
        <v>142</v>
      </c>
      <c r="C154" s="77"/>
      <c r="D154" s="69"/>
      <c r="E154" s="84"/>
      <c r="F154" s="93"/>
      <c r="G154" s="75"/>
      <c r="H154" s="106"/>
      <c r="I154" s="106"/>
      <c r="J154" s="106"/>
      <c r="K154" s="103"/>
      <c r="L154" s="107"/>
      <c r="M154" s="12" t="b">
        <f t="shared" si="3"/>
        <v>0</v>
      </c>
    </row>
    <row r="155" spans="2:13" ht="22.5">
      <c r="B155" s="26">
        <v>143</v>
      </c>
      <c r="C155" s="77"/>
      <c r="D155" s="69"/>
      <c r="E155" s="84"/>
      <c r="F155" s="93"/>
      <c r="G155" s="75"/>
      <c r="H155" s="106"/>
      <c r="I155" s="106"/>
      <c r="J155" s="106"/>
      <c r="K155" s="103"/>
      <c r="L155" s="107"/>
      <c r="M155" s="12" t="b">
        <f t="shared" si="3"/>
        <v>0</v>
      </c>
    </row>
    <row r="156" spans="2:13" ht="22.5">
      <c r="B156" s="26">
        <v>144</v>
      </c>
      <c r="C156" s="77"/>
      <c r="D156" s="69"/>
      <c r="E156" s="84"/>
      <c r="F156" s="93"/>
      <c r="G156" s="75"/>
      <c r="H156" s="106"/>
      <c r="I156" s="106"/>
      <c r="J156" s="106"/>
      <c r="K156" s="103"/>
      <c r="L156" s="107"/>
      <c r="M156" s="12" t="b">
        <f t="shared" si="3"/>
        <v>0</v>
      </c>
    </row>
    <row r="157" spans="2:13" ht="22.5">
      <c r="B157" s="26">
        <v>145</v>
      </c>
      <c r="C157" s="77"/>
      <c r="D157" s="69"/>
      <c r="E157" s="84"/>
      <c r="F157" s="93"/>
      <c r="G157" s="75"/>
      <c r="H157" s="106"/>
      <c r="I157" s="106"/>
      <c r="J157" s="106"/>
      <c r="K157" s="103"/>
      <c r="L157" s="107"/>
      <c r="M157" s="12" t="b">
        <f t="shared" si="3"/>
        <v>0</v>
      </c>
    </row>
    <row r="158" spans="2:13" ht="22.5">
      <c r="B158" s="26">
        <v>146</v>
      </c>
      <c r="C158" s="77"/>
      <c r="D158" s="69"/>
      <c r="E158" s="84"/>
      <c r="F158" s="93"/>
      <c r="G158" s="75"/>
      <c r="H158" s="106"/>
      <c r="I158" s="106"/>
      <c r="J158" s="106"/>
      <c r="K158" s="103"/>
      <c r="L158" s="107"/>
      <c r="M158" s="12" t="b">
        <f t="shared" si="3"/>
        <v>0</v>
      </c>
    </row>
    <row r="159" spans="2:13" ht="22.5">
      <c r="B159" s="26">
        <v>147</v>
      </c>
      <c r="C159" s="77"/>
      <c r="D159" s="69"/>
      <c r="E159" s="84"/>
      <c r="F159" s="93"/>
      <c r="G159" s="75"/>
      <c r="H159" s="106"/>
      <c r="I159" s="106"/>
      <c r="J159" s="106"/>
      <c r="K159" s="103"/>
      <c r="L159" s="107"/>
      <c r="M159" s="12" t="b">
        <f t="shared" si="3"/>
        <v>0</v>
      </c>
    </row>
    <row r="160" spans="2:13" ht="22.5">
      <c r="B160" s="26">
        <v>148</v>
      </c>
      <c r="C160" s="77"/>
      <c r="D160" s="69"/>
      <c r="E160" s="84"/>
      <c r="F160" s="93"/>
      <c r="G160" s="75"/>
      <c r="H160" s="106"/>
      <c r="I160" s="106"/>
      <c r="J160" s="106"/>
      <c r="K160" s="103"/>
      <c r="L160" s="107"/>
      <c r="M160" s="12" t="b">
        <f t="shared" si="3"/>
        <v>0</v>
      </c>
    </row>
    <row r="161" spans="2:13" ht="22.5">
      <c r="B161" s="26">
        <v>149</v>
      </c>
      <c r="C161" s="77"/>
      <c r="D161" s="69"/>
      <c r="E161" s="84"/>
      <c r="F161" s="93"/>
      <c r="G161" s="75"/>
      <c r="H161" s="106"/>
      <c r="I161" s="106"/>
      <c r="J161" s="106"/>
      <c r="K161" s="103"/>
      <c r="L161" s="107"/>
      <c r="M161" s="12" t="b">
        <f t="shared" si="3"/>
        <v>0</v>
      </c>
    </row>
    <row r="162" spans="2:13" ht="22.5">
      <c r="B162" s="26">
        <v>150</v>
      </c>
      <c r="C162" s="77"/>
      <c r="D162" s="69"/>
      <c r="E162" s="84"/>
      <c r="F162" s="93"/>
      <c r="G162" s="75"/>
      <c r="H162" s="106"/>
      <c r="I162" s="106"/>
      <c r="J162" s="106"/>
      <c r="K162" s="103"/>
      <c r="L162" s="107"/>
      <c r="M162" s="12" t="b">
        <f t="shared" si="3"/>
        <v>0</v>
      </c>
    </row>
    <row r="163" spans="2:13" ht="22.5">
      <c r="B163" s="26">
        <v>151</v>
      </c>
      <c r="C163" s="77"/>
      <c r="D163" s="69"/>
      <c r="E163" s="84"/>
      <c r="F163" s="93"/>
      <c r="G163" s="75"/>
      <c r="H163" s="106"/>
      <c r="I163" s="106"/>
      <c r="J163" s="106"/>
      <c r="K163" s="103"/>
      <c r="L163" s="107"/>
      <c r="M163" s="12" t="b">
        <f t="shared" si="3"/>
        <v>0</v>
      </c>
    </row>
    <row r="164" spans="2:13" ht="22.5">
      <c r="B164" s="26">
        <v>152</v>
      </c>
      <c r="C164" s="77"/>
      <c r="D164" s="69"/>
      <c r="E164" s="84"/>
      <c r="F164" s="93"/>
      <c r="G164" s="75"/>
      <c r="H164" s="106"/>
      <c r="I164" s="106"/>
      <c r="J164" s="106"/>
      <c r="K164" s="103"/>
      <c r="L164" s="107"/>
      <c r="M164" s="12" t="b">
        <f t="shared" si="3"/>
        <v>0</v>
      </c>
    </row>
    <row r="165" spans="2:13" ht="22.5">
      <c r="B165" s="26">
        <v>153</v>
      </c>
      <c r="C165" s="77"/>
      <c r="D165" s="69"/>
      <c r="E165" s="84"/>
      <c r="F165" s="93"/>
      <c r="G165" s="75"/>
      <c r="H165" s="106"/>
      <c r="I165" s="106"/>
      <c r="J165" s="106"/>
      <c r="K165" s="103"/>
      <c r="L165" s="107"/>
      <c r="M165" s="12" t="b">
        <f t="shared" si="3"/>
        <v>0</v>
      </c>
    </row>
    <row r="166" spans="2:13" ht="22.5">
      <c r="B166" s="26">
        <v>154</v>
      </c>
      <c r="C166" s="77"/>
      <c r="D166" s="69"/>
      <c r="E166" s="84"/>
      <c r="F166" s="93"/>
      <c r="G166" s="75"/>
      <c r="H166" s="106"/>
      <c r="I166" s="106"/>
      <c r="J166" s="106"/>
      <c r="K166" s="103"/>
      <c r="L166" s="107"/>
      <c r="M166" s="12" t="b">
        <f t="shared" si="3"/>
        <v>0</v>
      </c>
    </row>
    <row r="167" spans="2:13" ht="22.5">
      <c r="B167" s="26">
        <v>155</v>
      </c>
      <c r="C167" s="77"/>
      <c r="D167" s="69"/>
      <c r="E167" s="84"/>
      <c r="F167" s="93"/>
      <c r="G167" s="75"/>
      <c r="H167" s="106"/>
      <c r="I167" s="106"/>
      <c r="J167" s="106"/>
      <c r="K167" s="103"/>
      <c r="L167" s="107"/>
      <c r="M167" s="12" t="b">
        <f t="shared" si="3"/>
        <v>0</v>
      </c>
    </row>
    <row r="168" spans="2:13" ht="22.5">
      <c r="B168" s="26">
        <v>156</v>
      </c>
      <c r="C168" s="77"/>
      <c r="D168" s="69"/>
      <c r="E168" s="84"/>
      <c r="F168" s="93"/>
      <c r="G168" s="75"/>
      <c r="H168" s="106"/>
      <c r="I168" s="106"/>
      <c r="J168" s="106"/>
      <c r="K168" s="103"/>
      <c r="L168" s="107"/>
      <c r="M168" s="12" t="b">
        <f t="shared" si="3"/>
        <v>0</v>
      </c>
    </row>
    <row r="169" spans="2:13" ht="22.5">
      <c r="B169" s="26">
        <v>157</v>
      </c>
      <c r="C169" s="77"/>
      <c r="D169" s="69"/>
      <c r="E169" s="84"/>
      <c r="F169" s="93"/>
      <c r="G169" s="75"/>
      <c r="H169" s="106"/>
      <c r="I169" s="106"/>
      <c r="J169" s="106"/>
      <c r="K169" s="103"/>
      <c r="L169" s="107"/>
      <c r="M169" s="12" t="b">
        <f t="shared" si="3"/>
        <v>0</v>
      </c>
    </row>
    <row r="170" spans="2:13" ht="22.5">
      <c r="B170" s="26">
        <v>158</v>
      </c>
      <c r="C170" s="77"/>
      <c r="D170" s="69"/>
      <c r="E170" s="84"/>
      <c r="F170" s="93"/>
      <c r="G170" s="75"/>
      <c r="H170" s="106"/>
      <c r="I170" s="106"/>
      <c r="J170" s="106"/>
      <c r="K170" s="103"/>
      <c r="L170" s="107"/>
      <c r="M170" s="12" t="b">
        <f t="shared" si="3"/>
        <v>0</v>
      </c>
    </row>
    <row r="171" spans="2:13" ht="22.5">
      <c r="B171" s="26">
        <v>159</v>
      </c>
      <c r="C171" s="77"/>
      <c r="D171" s="69"/>
      <c r="E171" s="84"/>
      <c r="F171" s="93"/>
      <c r="G171" s="75"/>
      <c r="H171" s="106"/>
      <c r="I171" s="106"/>
      <c r="J171" s="106"/>
      <c r="K171" s="103"/>
      <c r="L171" s="107"/>
      <c r="M171" s="12" t="b">
        <f t="shared" si="3"/>
        <v>0</v>
      </c>
    </row>
    <row r="172" spans="2:13" ht="22.5">
      <c r="B172" s="26">
        <v>160</v>
      </c>
      <c r="C172" s="77"/>
      <c r="D172" s="69"/>
      <c r="E172" s="84"/>
      <c r="F172" s="93"/>
      <c r="G172" s="75"/>
      <c r="H172" s="106"/>
      <c r="I172" s="106"/>
      <c r="J172" s="106"/>
      <c r="K172" s="103"/>
      <c r="L172" s="107"/>
      <c r="M172" s="12" t="b">
        <f t="shared" si="3"/>
        <v>0</v>
      </c>
    </row>
    <row r="173" spans="2:13" ht="22.5">
      <c r="B173" s="26">
        <v>161</v>
      </c>
      <c r="C173" s="77"/>
      <c r="D173" s="69"/>
      <c r="E173" s="84"/>
      <c r="F173" s="93"/>
      <c r="G173" s="75"/>
      <c r="H173" s="106"/>
      <c r="I173" s="106"/>
      <c r="J173" s="106"/>
      <c r="K173" s="103"/>
      <c r="L173" s="107"/>
      <c r="M173" s="12" t="b">
        <f t="shared" si="3"/>
        <v>0</v>
      </c>
    </row>
    <row r="174" spans="2:13" ht="22.5">
      <c r="B174" s="26">
        <v>162</v>
      </c>
      <c r="C174" s="77"/>
      <c r="D174" s="69"/>
      <c r="E174" s="84"/>
      <c r="F174" s="93"/>
      <c r="G174" s="75"/>
      <c r="H174" s="106"/>
      <c r="I174" s="106"/>
      <c r="J174" s="106"/>
      <c r="K174" s="103"/>
      <c r="L174" s="107"/>
      <c r="M174" s="12" t="b">
        <f t="shared" si="3"/>
        <v>0</v>
      </c>
    </row>
    <row r="175" spans="2:13" ht="22.5">
      <c r="B175" s="26">
        <v>163</v>
      </c>
      <c r="C175" s="77"/>
      <c r="D175" s="69"/>
      <c r="E175" s="84"/>
      <c r="F175" s="93"/>
      <c r="G175" s="75"/>
      <c r="H175" s="106"/>
      <c r="I175" s="106"/>
      <c r="J175" s="106"/>
      <c r="K175" s="103"/>
      <c r="L175" s="107"/>
      <c r="M175" s="12" t="b">
        <f t="shared" si="3"/>
        <v>0</v>
      </c>
    </row>
    <row r="176" spans="2:13" ht="22.5">
      <c r="B176" s="26">
        <v>164</v>
      </c>
      <c r="C176" s="77"/>
      <c r="D176" s="69"/>
      <c r="E176" s="84"/>
      <c r="F176" s="93"/>
      <c r="G176" s="75"/>
      <c r="H176" s="106"/>
      <c r="I176" s="106"/>
      <c r="J176" s="106"/>
      <c r="K176" s="103"/>
      <c r="L176" s="107"/>
      <c r="M176" s="12" t="b">
        <f t="shared" si="3"/>
        <v>0</v>
      </c>
    </row>
    <row r="177" spans="2:13" ht="22.5">
      <c r="B177" s="26">
        <v>165</v>
      </c>
      <c r="C177" s="77"/>
      <c r="D177" s="69"/>
      <c r="E177" s="84"/>
      <c r="F177" s="93"/>
      <c r="G177" s="75"/>
      <c r="H177" s="106"/>
      <c r="I177" s="106"/>
      <c r="J177" s="106"/>
      <c r="K177" s="103"/>
      <c r="L177" s="107"/>
      <c r="M177" s="12" t="b">
        <f t="shared" si="3"/>
        <v>0</v>
      </c>
    </row>
    <row r="178" spans="2:13" ht="22.5">
      <c r="B178" s="26">
        <v>166</v>
      </c>
      <c r="C178" s="77"/>
      <c r="D178" s="69"/>
      <c r="E178" s="84"/>
      <c r="F178" s="93"/>
      <c r="G178" s="75"/>
      <c r="H178" s="106"/>
      <c r="I178" s="106"/>
      <c r="J178" s="106"/>
      <c r="K178" s="103"/>
      <c r="L178" s="107"/>
      <c r="M178" s="12" t="b">
        <f t="shared" si="3"/>
        <v>0</v>
      </c>
    </row>
    <row r="179" spans="2:13" ht="22.5">
      <c r="B179" s="26">
        <v>167</v>
      </c>
      <c r="C179" s="77"/>
      <c r="D179" s="69"/>
      <c r="E179" s="84"/>
      <c r="F179" s="93"/>
      <c r="G179" s="75"/>
      <c r="H179" s="106"/>
      <c r="I179" s="106"/>
      <c r="J179" s="106"/>
      <c r="K179" s="103"/>
      <c r="L179" s="107"/>
      <c r="M179" s="12" t="b">
        <f t="shared" si="3"/>
        <v>0</v>
      </c>
    </row>
    <row r="180" spans="2:13" ht="22.5">
      <c r="B180" s="26">
        <v>168</v>
      </c>
      <c r="C180" s="77"/>
      <c r="D180" s="69"/>
      <c r="E180" s="84"/>
      <c r="F180" s="93"/>
      <c r="G180" s="75"/>
      <c r="H180" s="106"/>
      <c r="I180" s="106"/>
      <c r="J180" s="106"/>
      <c r="K180" s="103"/>
      <c r="L180" s="107"/>
      <c r="M180" s="12" t="b">
        <f t="shared" si="3"/>
        <v>0</v>
      </c>
    </row>
    <row r="181" spans="2:13" ht="22.5">
      <c r="B181" s="26">
        <v>169</v>
      </c>
      <c r="C181" s="77"/>
      <c r="D181" s="69"/>
      <c r="E181" s="84"/>
      <c r="F181" s="93"/>
      <c r="G181" s="75"/>
      <c r="H181" s="106"/>
      <c r="I181" s="106"/>
      <c r="J181" s="106"/>
      <c r="K181" s="103"/>
      <c r="L181" s="107"/>
      <c r="M181" s="12" t="b">
        <f t="shared" si="3"/>
        <v>0</v>
      </c>
    </row>
    <row r="182" spans="2:13" ht="22.5">
      <c r="B182" s="26">
        <v>170</v>
      </c>
      <c r="C182" s="77"/>
      <c r="D182" s="69"/>
      <c r="E182" s="84"/>
      <c r="F182" s="93"/>
      <c r="G182" s="75"/>
      <c r="H182" s="106"/>
      <c r="I182" s="106"/>
      <c r="J182" s="106"/>
      <c r="K182" s="103"/>
      <c r="L182" s="107"/>
      <c r="M182" s="12" t="b">
        <f t="shared" si="3"/>
        <v>0</v>
      </c>
    </row>
    <row r="183" spans="2:13" ht="22.5">
      <c r="B183" s="26">
        <v>171</v>
      </c>
      <c r="C183" s="77"/>
      <c r="D183" s="69"/>
      <c r="E183" s="84"/>
      <c r="F183" s="93"/>
      <c r="G183" s="75"/>
      <c r="H183" s="106"/>
      <c r="I183" s="106"/>
      <c r="J183" s="106"/>
      <c r="K183" s="103"/>
      <c r="L183" s="107"/>
      <c r="M183" s="12" t="b">
        <f t="shared" si="3"/>
        <v>0</v>
      </c>
    </row>
    <row r="184" spans="2:13" ht="22.5">
      <c r="B184" s="26">
        <v>172</v>
      </c>
      <c r="C184" s="77"/>
      <c r="D184" s="69"/>
      <c r="E184" s="84"/>
      <c r="F184" s="93"/>
      <c r="G184" s="75"/>
      <c r="H184" s="106"/>
      <c r="I184" s="106"/>
      <c r="J184" s="106"/>
      <c r="K184" s="103"/>
      <c r="L184" s="107"/>
      <c r="M184" s="12" t="b">
        <f t="shared" si="3"/>
        <v>0</v>
      </c>
    </row>
    <row r="185" spans="2:13" ht="22.5">
      <c r="B185" s="26">
        <v>173</v>
      </c>
      <c r="C185" s="77"/>
      <c r="D185" s="69"/>
      <c r="E185" s="84"/>
      <c r="F185" s="93"/>
      <c r="G185" s="75"/>
      <c r="H185" s="106"/>
      <c r="I185" s="106"/>
      <c r="J185" s="106"/>
      <c r="K185" s="103"/>
      <c r="L185" s="107"/>
      <c r="M185" s="12" t="b">
        <f t="shared" si="3"/>
        <v>0</v>
      </c>
    </row>
    <row r="186" spans="2:13" ht="22.5">
      <c r="B186" s="26">
        <v>174</v>
      </c>
      <c r="C186" s="77"/>
      <c r="D186" s="69"/>
      <c r="E186" s="84"/>
      <c r="F186" s="93"/>
      <c r="G186" s="75"/>
      <c r="H186" s="106"/>
      <c r="I186" s="106"/>
      <c r="J186" s="106"/>
      <c r="K186" s="103"/>
      <c r="L186" s="107"/>
      <c r="M186" s="12" t="b">
        <f t="shared" si="3"/>
        <v>0</v>
      </c>
    </row>
    <row r="187" spans="2:13" ht="22.5">
      <c r="B187" s="26">
        <v>175</v>
      </c>
      <c r="C187" s="77"/>
      <c r="D187" s="69"/>
      <c r="E187" s="84"/>
      <c r="F187" s="93"/>
      <c r="G187" s="75"/>
      <c r="H187" s="106"/>
      <c r="I187" s="106"/>
      <c r="J187" s="106"/>
      <c r="K187" s="103"/>
      <c r="L187" s="107"/>
      <c r="M187" s="12" t="b">
        <f t="shared" si="3"/>
        <v>0</v>
      </c>
    </row>
    <row r="188" spans="2:13" ht="22.5">
      <c r="B188" s="26">
        <v>176</v>
      </c>
      <c r="C188" s="77"/>
      <c r="D188" s="69"/>
      <c r="E188" s="84"/>
      <c r="F188" s="93"/>
      <c r="G188" s="75"/>
      <c r="H188" s="106"/>
      <c r="I188" s="106"/>
      <c r="J188" s="106"/>
      <c r="K188" s="103"/>
      <c r="L188" s="107"/>
      <c r="M188" s="12" t="b">
        <f t="shared" si="3"/>
        <v>0</v>
      </c>
    </row>
    <row r="189" spans="2:13" ht="22.5">
      <c r="B189" s="26">
        <v>177</v>
      </c>
      <c r="C189" s="77"/>
      <c r="D189" s="69"/>
      <c r="E189" s="84"/>
      <c r="F189" s="93"/>
      <c r="G189" s="75"/>
      <c r="H189" s="106"/>
      <c r="I189" s="106"/>
      <c r="J189" s="106"/>
      <c r="K189" s="103"/>
      <c r="L189" s="107"/>
      <c r="M189" s="12" t="b">
        <f t="shared" si="3"/>
        <v>0</v>
      </c>
    </row>
    <row r="190" spans="2:13" ht="22.5">
      <c r="B190" s="26">
        <v>178</v>
      </c>
      <c r="C190" s="77"/>
      <c r="D190" s="69"/>
      <c r="E190" s="84"/>
      <c r="F190" s="93"/>
      <c r="G190" s="75"/>
      <c r="H190" s="106"/>
      <c r="I190" s="106"/>
      <c r="J190" s="106"/>
      <c r="K190" s="103"/>
      <c r="L190" s="107"/>
      <c r="M190" s="12" t="b">
        <f t="shared" si="3"/>
        <v>0</v>
      </c>
    </row>
    <row r="191" spans="2:13" ht="22.5">
      <c r="B191" s="26">
        <v>179</v>
      </c>
      <c r="C191" s="77"/>
      <c r="D191" s="69"/>
      <c r="E191" s="84"/>
      <c r="F191" s="93"/>
      <c r="G191" s="75"/>
      <c r="H191" s="106"/>
      <c r="I191" s="106"/>
      <c r="J191" s="106"/>
      <c r="K191" s="103"/>
      <c r="L191" s="107"/>
      <c r="M191" s="12" t="b">
        <f t="shared" si="3"/>
        <v>0</v>
      </c>
    </row>
    <row r="192" spans="2:13" ht="22.5">
      <c r="B192" s="26">
        <v>180</v>
      </c>
      <c r="C192" s="77"/>
      <c r="D192" s="69"/>
      <c r="E192" s="84"/>
      <c r="F192" s="93"/>
      <c r="G192" s="75"/>
      <c r="H192" s="106"/>
      <c r="I192" s="106"/>
      <c r="J192" s="106"/>
      <c r="K192" s="103"/>
      <c r="L192" s="107"/>
      <c r="M192" s="12" t="b">
        <f t="shared" si="3"/>
        <v>0</v>
      </c>
    </row>
    <row r="193" spans="2:13" ht="22.5">
      <c r="B193" s="26">
        <v>181</v>
      </c>
      <c r="C193" s="77"/>
      <c r="D193" s="69"/>
      <c r="E193" s="84"/>
      <c r="F193" s="93"/>
      <c r="G193" s="75"/>
      <c r="H193" s="106"/>
      <c r="I193" s="106"/>
      <c r="J193" s="106"/>
      <c r="K193" s="103"/>
      <c r="L193" s="107"/>
      <c r="M193" s="12" t="b">
        <f t="shared" si="3"/>
        <v>0</v>
      </c>
    </row>
    <row r="194" spans="2:13" ht="22.5">
      <c r="B194" s="26">
        <v>182</v>
      </c>
      <c r="C194" s="77"/>
      <c r="D194" s="69"/>
      <c r="E194" s="84"/>
      <c r="F194" s="93"/>
      <c r="G194" s="75"/>
      <c r="H194" s="106"/>
      <c r="I194" s="106"/>
      <c r="J194" s="106"/>
      <c r="K194" s="103"/>
      <c r="L194" s="107"/>
      <c r="M194" s="12" t="b">
        <f t="shared" si="3"/>
        <v>0</v>
      </c>
    </row>
    <row r="195" spans="2:13" ht="22.5">
      <c r="B195" s="26">
        <v>183</v>
      </c>
      <c r="C195" s="77"/>
      <c r="D195" s="69"/>
      <c r="E195" s="84"/>
      <c r="F195" s="93"/>
      <c r="G195" s="75"/>
      <c r="H195" s="106"/>
      <c r="I195" s="106"/>
      <c r="J195" s="106"/>
      <c r="K195" s="103"/>
      <c r="L195" s="107"/>
      <c r="M195" s="12" t="b">
        <f t="shared" si="3"/>
        <v>0</v>
      </c>
    </row>
    <row r="196" spans="2:13" ht="22.5">
      <c r="B196" s="26">
        <v>184</v>
      </c>
      <c r="C196" s="77"/>
      <c r="D196" s="69"/>
      <c r="E196" s="84"/>
      <c r="F196" s="93"/>
      <c r="G196" s="75"/>
      <c r="H196" s="106"/>
      <c r="I196" s="106"/>
      <c r="J196" s="106"/>
      <c r="K196" s="103"/>
      <c r="L196" s="107"/>
      <c r="M196" s="12" t="b">
        <f t="shared" si="3"/>
        <v>0</v>
      </c>
    </row>
    <row r="197" spans="2:13" ht="22.5">
      <c r="B197" s="26">
        <v>185</v>
      </c>
      <c r="C197" s="77"/>
      <c r="D197" s="69"/>
      <c r="E197" s="84"/>
      <c r="F197" s="93"/>
      <c r="G197" s="75"/>
      <c r="H197" s="106"/>
      <c r="I197" s="106"/>
      <c r="J197" s="106"/>
      <c r="K197" s="103"/>
      <c r="L197" s="107"/>
      <c r="M197" s="12" t="b">
        <f t="shared" si="3"/>
        <v>0</v>
      </c>
    </row>
    <row r="198" spans="2:13" ht="22.5">
      <c r="B198" s="26">
        <v>186</v>
      </c>
      <c r="C198" s="77"/>
      <c r="D198" s="69"/>
      <c r="E198" s="84"/>
      <c r="F198" s="93"/>
      <c r="G198" s="75"/>
      <c r="H198" s="106"/>
      <c r="I198" s="106"/>
      <c r="J198" s="106"/>
      <c r="K198" s="103"/>
      <c r="L198" s="107"/>
      <c r="M198" s="12" t="b">
        <f t="shared" si="3"/>
        <v>0</v>
      </c>
    </row>
    <row r="199" spans="2:13" ht="22.5">
      <c r="B199" s="26">
        <v>187</v>
      </c>
      <c r="C199" s="77"/>
      <c r="D199" s="69"/>
      <c r="E199" s="84"/>
      <c r="F199" s="93"/>
      <c r="G199" s="75"/>
      <c r="H199" s="106"/>
      <c r="I199" s="106"/>
      <c r="J199" s="106"/>
      <c r="K199" s="103"/>
      <c r="L199" s="107"/>
      <c r="M199" s="12" t="b">
        <f t="shared" si="3"/>
        <v>0</v>
      </c>
    </row>
    <row r="200" spans="2:13" ht="22.5">
      <c r="B200" s="26">
        <v>188</v>
      </c>
      <c r="C200" s="77"/>
      <c r="D200" s="69"/>
      <c r="E200" s="84"/>
      <c r="F200" s="93"/>
      <c r="G200" s="75"/>
      <c r="H200" s="106"/>
      <c r="I200" s="106"/>
      <c r="J200" s="106"/>
      <c r="K200" s="103"/>
      <c r="L200" s="107"/>
      <c r="M200" s="12" t="b">
        <f t="shared" si="3"/>
        <v>0</v>
      </c>
    </row>
    <row r="201" spans="2:13" ht="22.5">
      <c r="B201" s="26">
        <v>189</v>
      </c>
      <c r="C201" s="77"/>
      <c r="D201" s="69"/>
      <c r="E201" s="84"/>
      <c r="F201" s="93"/>
      <c r="G201" s="75"/>
      <c r="H201" s="106"/>
      <c r="I201" s="106"/>
      <c r="J201" s="106"/>
      <c r="K201" s="103"/>
      <c r="L201" s="107"/>
      <c r="M201" s="12" t="b">
        <f t="shared" si="3"/>
        <v>0</v>
      </c>
    </row>
    <row r="202" spans="2:13" ht="22.5">
      <c r="B202" s="26">
        <v>190</v>
      </c>
      <c r="C202" s="77"/>
      <c r="D202" s="69"/>
      <c r="E202" s="84"/>
      <c r="F202" s="93"/>
      <c r="G202" s="75"/>
      <c r="H202" s="106"/>
      <c r="I202" s="106"/>
      <c r="J202" s="106"/>
      <c r="K202" s="103"/>
      <c r="L202" s="107"/>
      <c r="M202" s="12" t="b">
        <f t="shared" si="3"/>
        <v>0</v>
      </c>
    </row>
    <row r="203" spans="2:13" ht="22.5">
      <c r="B203" s="26">
        <v>191</v>
      </c>
      <c r="C203" s="77"/>
      <c r="D203" s="69"/>
      <c r="E203" s="84"/>
      <c r="F203" s="93"/>
      <c r="G203" s="75"/>
      <c r="H203" s="106"/>
      <c r="I203" s="106"/>
      <c r="J203" s="106"/>
      <c r="K203" s="103"/>
      <c r="L203" s="107"/>
      <c r="M203" s="12" t="b">
        <f t="shared" si="3"/>
        <v>0</v>
      </c>
    </row>
    <row r="204" spans="2:13" ht="22.5">
      <c r="B204" s="26">
        <v>192</v>
      </c>
      <c r="C204" s="77"/>
      <c r="D204" s="69"/>
      <c r="E204" s="84"/>
      <c r="F204" s="93"/>
      <c r="G204" s="75"/>
      <c r="H204" s="106"/>
      <c r="I204" s="106"/>
      <c r="J204" s="106"/>
      <c r="K204" s="103"/>
      <c r="L204" s="107"/>
      <c r="M204" s="12" t="b">
        <f t="shared" si="3"/>
        <v>0</v>
      </c>
    </row>
    <row r="205" spans="2:13" ht="22.5">
      <c r="B205" s="26">
        <v>193</v>
      </c>
      <c r="C205" s="77"/>
      <c r="D205" s="69"/>
      <c r="E205" s="84"/>
      <c r="F205" s="93"/>
      <c r="G205" s="75"/>
      <c r="H205" s="106"/>
      <c r="I205" s="106"/>
      <c r="J205" s="106"/>
      <c r="K205" s="103"/>
      <c r="L205" s="107"/>
      <c r="M205" s="12" t="b">
        <f t="shared" ref="M205:M268" si="4">IF(COUNTA(E205:G205)=0,FALSE,TRUE)</f>
        <v>0</v>
      </c>
    </row>
    <row r="206" spans="2:13" ht="22.5">
      <c r="B206" s="26">
        <v>194</v>
      </c>
      <c r="C206" s="77"/>
      <c r="D206" s="69"/>
      <c r="E206" s="84"/>
      <c r="F206" s="93"/>
      <c r="G206" s="75"/>
      <c r="H206" s="106"/>
      <c r="I206" s="106"/>
      <c r="J206" s="106"/>
      <c r="K206" s="103"/>
      <c r="L206" s="107"/>
      <c r="M206" s="12" t="b">
        <f t="shared" si="4"/>
        <v>0</v>
      </c>
    </row>
    <row r="207" spans="2:13" ht="22.5">
      <c r="B207" s="26">
        <v>195</v>
      </c>
      <c r="C207" s="77"/>
      <c r="D207" s="69"/>
      <c r="E207" s="84"/>
      <c r="F207" s="93"/>
      <c r="G207" s="75"/>
      <c r="H207" s="106"/>
      <c r="I207" s="106"/>
      <c r="J207" s="106"/>
      <c r="K207" s="103"/>
      <c r="L207" s="107"/>
      <c r="M207" s="12" t="b">
        <f t="shared" si="4"/>
        <v>0</v>
      </c>
    </row>
    <row r="208" spans="2:13" ht="22.5">
      <c r="B208" s="26">
        <v>196</v>
      </c>
      <c r="C208" s="77"/>
      <c r="D208" s="69"/>
      <c r="E208" s="84"/>
      <c r="F208" s="93"/>
      <c r="G208" s="75"/>
      <c r="H208" s="106"/>
      <c r="I208" s="106"/>
      <c r="J208" s="106"/>
      <c r="K208" s="103"/>
      <c r="L208" s="107"/>
      <c r="M208" s="12" t="b">
        <f t="shared" si="4"/>
        <v>0</v>
      </c>
    </row>
    <row r="209" spans="2:13" ht="22.5">
      <c r="B209" s="26">
        <v>197</v>
      </c>
      <c r="C209" s="77"/>
      <c r="D209" s="69"/>
      <c r="E209" s="84"/>
      <c r="F209" s="93"/>
      <c r="G209" s="75"/>
      <c r="H209" s="106"/>
      <c r="I209" s="106"/>
      <c r="J209" s="106"/>
      <c r="K209" s="103"/>
      <c r="L209" s="107"/>
      <c r="M209" s="12" t="b">
        <f t="shared" si="4"/>
        <v>0</v>
      </c>
    </row>
    <row r="210" spans="2:13" ht="22.5">
      <c r="B210" s="26">
        <v>198</v>
      </c>
      <c r="C210" s="77"/>
      <c r="D210" s="69"/>
      <c r="E210" s="84"/>
      <c r="F210" s="93"/>
      <c r="G210" s="75"/>
      <c r="H210" s="106"/>
      <c r="I210" s="106"/>
      <c r="J210" s="106"/>
      <c r="K210" s="103"/>
      <c r="L210" s="107"/>
      <c r="M210" s="12" t="b">
        <f t="shared" si="4"/>
        <v>0</v>
      </c>
    </row>
    <row r="211" spans="2:13" ht="22.5">
      <c r="B211" s="26">
        <v>199</v>
      </c>
      <c r="C211" s="77"/>
      <c r="D211" s="69"/>
      <c r="E211" s="84"/>
      <c r="F211" s="93"/>
      <c r="G211" s="75"/>
      <c r="H211" s="106"/>
      <c r="I211" s="106"/>
      <c r="J211" s="106"/>
      <c r="K211" s="103"/>
      <c r="L211" s="107"/>
      <c r="M211" s="12" t="b">
        <f t="shared" si="4"/>
        <v>0</v>
      </c>
    </row>
    <row r="212" spans="2:13" ht="22.5">
      <c r="B212" s="26">
        <v>200</v>
      </c>
      <c r="C212" s="77"/>
      <c r="D212" s="69"/>
      <c r="E212" s="84"/>
      <c r="F212" s="93"/>
      <c r="G212" s="75"/>
      <c r="H212" s="106"/>
      <c r="I212" s="106"/>
      <c r="J212" s="106"/>
      <c r="K212" s="103"/>
      <c r="L212" s="107"/>
      <c r="M212" s="12" t="b">
        <f t="shared" si="4"/>
        <v>0</v>
      </c>
    </row>
    <row r="213" spans="2:13" ht="22.5">
      <c r="B213" s="26">
        <v>201</v>
      </c>
      <c r="C213" s="77"/>
      <c r="D213" s="69"/>
      <c r="E213" s="84"/>
      <c r="F213" s="93"/>
      <c r="G213" s="75"/>
      <c r="H213" s="106"/>
      <c r="I213" s="106"/>
      <c r="J213" s="106"/>
      <c r="K213" s="103"/>
      <c r="L213" s="107"/>
      <c r="M213" s="12" t="b">
        <f t="shared" si="4"/>
        <v>0</v>
      </c>
    </row>
    <row r="214" spans="2:13" ht="22.5">
      <c r="B214" s="26">
        <v>202</v>
      </c>
      <c r="C214" s="77"/>
      <c r="D214" s="69"/>
      <c r="E214" s="84"/>
      <c r="F214" s="93"/>
      <c r="G214" s="75"/>
      <c r="H214" s="106"/>
      <c r="I214" s="106"/>
      <c r="J214" s="106"/>
      <c r="K214" s="103"/>
      <c r="L214" s="107"/>
      <c r="M214" s="12" t="b">
        <f t="shared" si="4"/>
        <v>0</v>
      </c>
    </row>
    <row r="215" spans="2:13" ht="22.5">
      <c r="B215" s="26">
        <v>203</v>
      </c>
      <c r="C215" s="77"/>
      <c r="D215" s="69"/>
      <c r="E215" s="84"/>
      <c r="F215" s="93"/>
      <c r="G215" s="75"/>
      <c r="H215" s="106"/>
      <c r="I215" s="106"/>
      <c r="J215" s="106"/>
      <c r="K215" s="103"/>
      <c r="L215" s="107"/>
      <c r="M215" s="12" t="b">
        <f t="shared" si="4"/>
        <v>0</v>
      </c>
    </row>
    <row r="216" spans="2:13" ht="22.5">
      <c r="B216" s="26">
        <v>204</v>
      </c>
      <c r="C216" s="77"/>
      <c r="D216" s="69"/>
      <c r="E216" s="84"/>
      <c r="F216" s="93"/>
      <c r="G216" s="75"/>
      <c r="H216" s="106"/>
      <c r="I216" s="106"/>
      <c r="J216" s="106"/>
      <c r="K216" s="103"/>
      <c r="L216" s="107"/>
      <c r="M216" s="12" t="b">
        <f t="shared" si="4"/>
        <v>0</v>
      </c>
    </row>
    <row r="217" spans="2:13" ht="22.5">
      <c r="B217" s="26">
        <v>205</v>
      </c>
      <c r="C217" s="77"/>
      <c r="D217" s="69"/>
      <c r="E217" s="84"/>
      <c r="F217" s="93"/>
      <c r="G217" s="75"/>
      <c r="H217" s="106"/>
      <c r="I217" s="106"/>
      <c r="J217" s="106"/>
      <c r="K217" s="103"/>
      <c r="L217" s="107"/>
      <c r="M217" s="12" t="b">
        <f t="shared" si="4"/>
        <v>0</v>
      </c>
    </row>
    <row r="218" spans="2:13" ht="22.5">
      <c r="B218" s="26">
        <v>206</v>
      </c>
      <c r="C218" s="77"/>
      <c r="D218" s="69"/>
      <c r="E218" s="84"/>
      <c r="F218" s="93"/>
      <c r="G218" s="75"/>
      <c r="H218" s="106"/>
      <c r="I218" s="106"/>
      <c r="J218" s="106"/>
      <c r="K218" s="103"/>
      <c r="L218" s="107"/>
      <c r="M218" s="12" t="b">
        <f t="shared" si="4"/>
        <v>0</v>
      </c>
    </row>
    <row r="219" spans="2:13" ht="22.5">
      <c r="B219" s="26">
        <v>207</v>
      </c>
      <c r="C219" s="77"/>
      <c r="D219" s="69"/>
      <c r="E219" s="84"/>
      <c r="F219" s="93"/>
      <c r="G219" s="75"/>
      <c r="H219" s="106"/>
      <c r="I219" s="106"/>
      <c r="J219" s="106"/>
      <c r="K219" s="103"/>
      <c r="L219" s="107"/>
      <c r="M219" s="12" t="b">
        <f t="shared" si="4"/>
        <v>0</v>
      </c>
    </row>
    <row r="220" spans="2:13" ht="22.5">
      <c r="B220" s="26">
        <v>208</v>
      </c>
      <c r="C220" s="77"/>
      <c r="D220" s="69"/>
      <c r="E220" s="84"/>
      <c r="F220" s="93"/>
      <c r="G220" s="75"/>
      <c r="H220" s="106"/>
      <c r="I220" s="106"/>
      <c r="J220" s="106"/>
      <c r="K220" s="103"/>
      <c r="L220" s="107"/>
      <c r="M220" s="12" t="b">
        <f t="shared" si="4"/>
        <v>0</v>
      </c>
    </row>
    <row r="221" spans="2:13" ht="22.5">
      <c r="B221" s="26">
        <v>209</v>
      </c>
      <c r="C221" s="77"/>
      <c r="D221" s="69"/>
      <c r="E221" s="84"/>
      <c r="F221" s="93"/>
      <c r="G221" s="75"/>
      <c r="H221" s="106"/>
      <c r="I221" s="106"/>
      <c r="J221" s="106"/>
      <c r="K221" s="103"/>
      <c r="L221" s="107"/>
      <c r="M221" s="12" t="b">
        <f t="shared" si="4"/>
        <v>0</v>
      </c>
    </row>
    <row r="222" spans="2:13" ht="22.5">
      <c r="B222" s="26">
        <v>210</v>
      </c>
      <c r="C222" s="77"/>
      <c r="D222" s="69"/>
      <c r="E222" s="84"/>
      <c r="F222" s="93"/>
      <c r="G222" s="75"/>
      <c r="H222" s="106"/>
      <c r="I222" s="106"/>
      <c r="J222" s="106"/>
      <c r="K222" s="103"/>
      <c r="L222" s="107"/>
      <c r="M222" s="12" t="b">
        <f t="shared" si="4"/>
        <v>0</v>
      </c>
    </row>
    <row r="223" spans="2:13" ht="22.5">
      <c r="B223" s="26">
        <v>211</v>
      </c>
      <c r="C223" s="77"/>
      <c r="D223" s="69"/>
      <c r="E223" s="84"/>
      <c r="F223" s="93"/>
      <c r="G223" s="75"/>
      <c r="H223" s="106"/>
      <c r="I223" s="106"/>
      <c r="J223" s="106"/>
      <c r="K223" s="103"/>
      <c r="L223" s="107"/>
      <c r="M223" s="12" t="b">
        <f t="shared" si="4"/>
        <v>0</v>
      </c>
    </row>
    <row r="224" spans="2:13" ht="22.5">
      <c r="B224" s="26">
        <v>212</v>
      </c>
      <c r="C224" s="77"/>
      <c r="D224" s="69"/>
      <c r="E224" s="84"/>
      <c r="F224" s="93"/>
      <c r="G224" s="75"/>
      <c r="H224" s="106"/>
      <c r="I224" s="106"/>
      <c r="J224" s="106"/>
      <c r="K224" s="103"/>
      <c r="L224" s="107"/>
      <c r="M224" s="12" t="b">
        <f t="shared" si="4"/>
        <v>0</v>
      </c>
    </row>
    <row r="225" spans="2:13" ht="22.5">
      <c r="B225" s="26">
        <v>213</v>
      </c>
      <c r="C225" s="77"/>
      <c r="D225" s="69"/>
      <c r="E225" s="84"/>
      <c r="F225" s="93"/>
      <c r="G225" s="75"/>
      <c r="H225" s="106"/>
      <c r="I225" s="106"/>
      <c r="J225" s="106"/>
      <c r="K225" s="103"/>
      <c r="L225" s="107"/>
      <c r="M225" s="12" t="b">
        <f t="shared" si="4"/>
        <v>0</v>
      </c>
    </row>
    <row r="226" spans="2:13" ht="22.5">
      <c r="B226" s="26">
        <v>214</v>
      </c>
      <c r="C226" s="77"/>
      <c r="D226" s="69"/>
      <c r="E226" s="84"/>
      <c r="F226" s="93"/>
      <c r="G226" s="75"/>
      <c r="H226" s="106"/>
      <c r="I226" s="106"/>
      <c r="J226" s="106"/>
      <c r="K226" s="103"/>
      <c r="L226" s="107"/>
      <c r="M226" s="12" t="b">
        <f t="shared" si="4"/>
        <v>0</v>
      </c>
    </row>
    <row r="227" spans="2:13" ht="22.5">
      <c r="B227" s="26">
        <v>215</v>
      </c>
      <c r="C227" s="77"/>
      <c r="D227" s="69"/>
      <c r="E227" s="84"/>
      <c r="F227" s="93"/>
      <c r="G227" s="75"/>
      <c r="H227" s="106"/>
      <c r="I227" s="106"/>
      <c r="J227" s="106"/>
      <c r="K227" s="103"/>
      <c r="L227" s="107"/>
      <c r="M227" s="12" t="b">
        <f t="shared" si="4"/>
        <v>0</v>
      </c>
    </row>
    <row r="228" spans="2:13" ht="22.5">
      <c r="B228" s="26">
        <v>216</v>
      </c>
      <c r="C228" s="77"/>
      <c r="D228" s="69"/>
      <c r="E228" s="84"/>
      <c r="F228" s="93"/>
      <c r="G228" s="75"/>
      <c r="H228" s="106"/>
      <c r="I228" s="106"/>
      <c r="J228" s="106"/>
      <c r="K228" s="103"/>
      <c r="L228" s="107"/>
      <c r="M228" s="12" t="b">
        <f t="shared" si="4"/>
        <v>0</v>
      </c>
    </row>
    <row r="229" spans="2:13" ht="22.5">
      <c r="B229" s="26">
        <v>217</v>
      </c>
      <c r="C229" s="77"/>
      <c r="D229" s="69"/>
      <c r="E229" s="84"/>
      <c r="F229" s="93"/>
      <c r="G229" s="75"/>
      <c r="H229" s="106"/>
      <c r="I229" s="106"/>
      <c r="J229" s="106"/>
      <c r="K229" s="103"/>
      <c r="L229" s="107"/>
      <c r="M229" s="12" t="b">
        <f t="shared" si="4"/>
        <v>0</v>
      </c>
    </row>
    <row r="230" spans="2:13" ht="22.5">
      <c r="B230" s="26">
        <v>218</v>
      </c>
      <c r="C230" s="77"/>
      <c r="D230" s="69"/>
      <c r="E230" s="84"/>
      <c r="F230" s="93"/>
      <c r="G230" s="75"/>
      <c r="H230" s="106"/>
      <c r="I230" s="106"/>
      <c r="J230" s="106"/>
      <c r="K230" s="103"/>
      <c r="L230" s="107"/>
      <c r="M230" s="12" t="b">
        <f t="shared" si="4"/>
        <v>0</v>
      </c>
    </row>
    <row r="231" spans="2:13" ht="22.5">
      <c r="B231" s="26">
        <v>219</v>
      </c>
      <c r="C231" s="77"/>
      <c r="D231" s="69"/>
      <c r="E231" s="84"/>
      <c r="F231" s="93"/>
      <c r="G231" s="75"/>
      <c r="H231" s="106"/>
      <c r="I231" s="106"/>
      <c r="J231" s="106"/>
      <c r="K231" s="103"/>
      <c r="L231" s="107"/>
      <c r="M231" s="12" t="b">
        <f t="shared" si="4"/>
        <v>0</v>
      </c>
    </row>
    <row r="232" spans="2:13" ht="22.5">
      <c r="B232" s="26">
        <v>220</v>
      </c>
      <c r="C232" s="77"/>
      <c r="D232" s="69"/>
      <c r="E232" s="84"/>
      <c r="F232" s="93"/>
      <c r="G232" s="75"/>
      <c r="H232" s="106"/>
      <c r="I232" s="106"/>
      <c r="J232" s="106"/>
      <c r="K232" s="103"/>
      <c r="L232" s="107"/>
      <c r="M232" s="12" t="b">
        <f t="shared" si="4"/>
        <v>0</v>
      </c>
    </row>
    <row r="233" spans="2:13" ht="22.5">
      <c r="B233" s="26">
        <v>221</v>
      </c>
      <c r="C233" s="77"/>
      <c r="D233" s="69"/>
      <c r="E233" s="84"/>
      <c r="F233" s="93"/>
      <c r="G233" s="75"/>
      <c r="H233" s="106"/>
      <c r="I233" s="106"/>
      <c r="J233" s="106"/>
      <c r="K233" s="103"/>
      <c r="L233" s="107"/>
      <c r="M233" s="12" t="b">
        <f t="shared" si="4"/>
        <v>0</v>
      </c>
    </row>
    <row r="234" spans="2:13" ht="22.5">
      <c r="B234" s="26">
        <v>222</v>
      </c>
      <c r="C234" s="77"/>
      <c r="D234" s="69"/>
      <c r="E234" s="84"/>
      <c r="F234" s="93"/>
      <c r="G234" s="75"/>
      <c r="H234" s="106"/>
      <c r="I234" s="106"/>
      <c r="J234" s="106"/>
      <c r="K234" s="103"/>
      <c r="L234" s="107"/>
      <c r="M234" s="12" t="b">
        <f t="shared" si="4"/>
        <v>0</v>
      </c>
    </row>
    <row r="235" spans="2:13" ht="22.5">
      <c r="B235" s="26">
        <v>223</v>
      </c>
      <c r="C235" s="77"/>
      <c r="D235" s="69"/>
      <c r="E235" s="84"/>
      <c r="F235" s="93"/>
      <c r="G235" s="75"/>
      <c r="H235" s="106"/>
      <c r="I235" s="106"/>
      <c r="J235" s="106"/>
      <c r="K235" s="103"/>
      <c r="L235" s="107"/>
      <c r="M235" s="12" t="b">
        <f t="shared" si="4"/>
        <v>0</v>
      </c>
    </row>
    <row r="236" spans="2:13" ht="22.5">
      <c r="B236" s="26">
        <v>224</v>
      </c>
      <c r="C236" s="77"/>
      <c r="D236" s="69"/>
      <c r="E236" s="84"/>
      <c r="F236" s="93"/>
      <c r="G236" s="75"/>
      <c r="H236" s="106"/>
      <c r="I236" s="106"/>
      <c r="J236" s="106"/>
      <c r="K236" s="103"/>
      <c r="L236" s="107"/>
      <c r="M236" s="12" t="b">
        <f t="shared" si="4"/>
        <v>0</v>
      </c>
    </row>
    <row r="237" spans="2:13" ht="22.5">
      <c r="B237" s="26">
        <v>225</v>
      </c>
      <c r="C237" s="77"/>
      <c r="D237" s="69"/>
      <c r="E237" s="84"/>
      <c r="F237" s="93"/>
      <c r="G237" s="75"/>
      <c r="H237" s="106"/>
      <c r="I237" s="106"/>
      <c r="J237" s="106"/>
      <c r="K237" s="103"/>
      <c r="L237" s="107"/>
      <c r="M237" s="12" t="b">
        <f t="shared" si="4"/>
        <v>0</v>
      </c>
    </row>
    <row r="238" spans="2:13" ht="22.5">
      <c r="B238" s="26">
        <v>226</v>
      </c>
      <c r="C238" s="77"/>
      <c r="D238" s="69"/>
      <c r="E238" s="84"/>
      <c r="F238" s="93"/>
      <c r="G238" s="75"/>
      <c r="H238" s="106"/>
      <c r="I238" s="106"/>
      <c r="J238" s="106"/>
      <c r="K238" s="103"/>
      <c r="L238" s="107"/>
      <c r="M238" s="12" t="b">
        <f t="shared" si="4"/>
        <v>0</v>
      </c>
    </row>
    <row r="239" spans="2:13" ht="22.5">
      <c r="B239" s="26">
        <v>227</v>
      </c>
      <c r="C239" s="77"/>
      <c r="D239" s="69"/>
      <c r="E239" s="84"/>
      <c r="F239" s="93"/>
      <c r="G239" s="75"/>
      <c r="H239" s="106"/>
      <c r="I239" s="106"/>
      <c r="J239" s="106"/>
      <c r="K239" s="103"/>
      <c r="L239" s="107"/>
      <c r="M239" s="12" t="b">
        <f t="shared" si="4"/>
        <v>0</v>
      </c>
    </row>
    <row r="240" spans="2:13" ht="22.5">
      <c r="B240" s="26">
        <v>228</v>
      </c>
      <c r="C240" s="77"/>
      <c r="D240" s="69"/>
      <c r="E240" s="84"/>
      <c r="F240" s="93"/>
      <c r="G240" s="75"/>
      <c r="H240" s="106"/>
      <c r="I240" s="106"/>
      <c r="J240" s="106"/>
      <c r="K240" s="103"/>
      <c r="L240" s="107"/>
      <c r="M240" s="12" t="b">
        <f t="shared" si="4"/>
        <v>0</v>
      </c>
    </row>
    <row r="241" spans="2:13" ht="22.5">
      <c r="B241" s="26">
        <v>229</v>
      </c>
      <c r="C241" s="77"/>
      <c r="D241" s="69"/>
      <c r="E241" s="84"/>
      <c r="F241" s="93"/>
      <c r="G241" s="75"/>
      <c r="H241" s="106"/>
      <c r="I241" s="106"/>
      <c r="J241" s="106"/>
      <c r="K241" s="103"/>
      <c r="L241" s="107"/>
      <c r="M241" s="12" t="b">
        <f t="shared" si="4"/>
        <v>0</v>
      </c>
    </row>
    <row r="242" spans="2:13" ht="22.5">
      <c r="B242" s="26">
        <v>230</v>
      </c>
      <c r="C242" s="77"/>
      <c r="D242" s="69"/>
      <c r="E242" s="84"/>
      <c r="F242" s="93"/>
      <c r="G242" s="75"/>
      <c r="H242" s="106"/>
      <c r="I242" s="106"/>
      <c r="J242" s="106"/>
      <c r="K242" s="103"/>
      <c r="L242" s="107"/>
      <c r="M242" s="12" t="b">
        <f t="shared" si="4"/>
        <v>0</v>
      </c>
    </row>
    <row r="243" spans="2:13" ht="22.5">
      <c r="B243" s="26">
        <v>231</v>
      </c>
      <c r="C243" s="77"/>
      <c r="D243" s="69"/>
      <c r="E243" s="84"/>
      <c r="F243" s="93"/>
      <c r="G243" s="75"/>
      <c r="H243" s="106"/>
      <c r="I243" s="106"/>
      <c r="J243" s="106"/>
      <c r="K243" s="103"/>
      <c r="L243" s="107"/>
      <c r="M243" s="12" t="b">
        <f t="shared" si="4"/>
        <v>0</v>
      </c>
    </row>
    <row r="244" spans="2:13" ht="22.5">
      <c r="B244" s="26">
        <v>232</v>
      </c>
      <c r="C244" s="77"/>
      <c r="D244" s="69"/>
      <c r="E244" s="84"/>
      <c r="F244" s="93"/>
      <c r="G244" s="75"/>
      <c r="H244" s="106"/>
      <c r="I244" s="106"/>
      <c r="J244" s="106"/>
      <c r="K244" s="103"/>
      <c r="L244" s="107"/>
      <c r="M244" s="12" t="b">
        <f t="shared" si="4"/>
        <v>0</v>
      </c>
    </row>
    <row r="245" spans="2:13" ht="22.5">
      <c r="B245" s="26">
        <v>233</v>
      </c>
      <c r="C245" s="77"/>
      <c r="D245" s="69"/>
      <c r="E245" s="84"/>
      <c r="F245" s="93"/>
      <c r="G245" s="75"/>
      <c r="H245" s="106"/>
      <c r="I245" s="106"/>
      <c r="J245" s="106"/>
      <c r="K245" s="103"/>
      <c r="L245" s="107"/>
      <c r="M245" s="12" t="b">
        <f t="shared" si="4"/>
        <v>0</v>
      </c>
    </row>
    <row r="246" spans="2:13" ht="22.5">
      <c r="B246" s="26">
        <v>234</v>
      </c>
      <c r="C246" s="77"/>
      <c r="D246" s="69"/>
      <c r="E246" s="84"/>
      <c r="F246" s="93"/>
      <c r="G246" s="75"/>
      <c r="H246" s="106"/>
      <c r="I246" s="106"/>
      <c r="J246" s="106"/>
      <c r="K246" s="103"/>
      <c r="L246" s="107"/>
      <c r="M246" s="12" t="b">
        <f t="shared" si="4"/>
        <v>0</v>
      </c>
    </row>
    <row r="247" spans="2:13" ht="22.5">
      <c r="B247" s="26">
        <v>235</v>
      </c>
      <c r="C247" s="77"/>
      <c r="D247" s="69"/>
      <c r="E247" s="84"/>
      <c r="F247" s="93"/>
      <c r="G247" s="75"/>
      <c r="H247" s="106"/>
      <c r="I247" s="106"/>
      <c r="J247" s="106"/>
      <c r="K247" s="103"/>
      <c r="L247" s="107"/>
      <c r="M247" s="12" t="b">
        <f t="shared" si="4"/>
        <v>0</v>
      </c>
    </row>
    <row r="248" spans="2:13" ht="22.5">
      <c r="B248" s="26">
        <v>236</v>
      </c>
      <c r="C248" s="77"/>
      <c r="D248" s="69"/>
      <c r="E248" s="84"/>
      <c r="F248" s="93"/>
      <c r="G248" s="75"/>
      <c r="H248" s="106"/>
      <c r="I248" s="106"/>
      <c r="J248" s="106"/>
      <c r="K248" s="103"/>
      <c r="L248" s="107"/>
      <c r="M248" s="12" t="b">
        <f t="shared" si="4"/>
        <v>0</v>
      </c>
    </row>
    <row r="249" spans="2:13" ht="22.5">
      <c r="B249" s="26">
        <v>237</v>
      </c>
      <c r="C249" s="77"/>
      <c r="D249" s="69"/>
      <c r="E249" s="84"/>
      <c r="F249" s="93"/>
      <c r="G249" s="75"/>
      <c r="H249" s="106"/>
      <c r="I249" s="106"/>
      <c r="J249" s="106"/>
      <c r="K249" s="103"/>
      <c r="L249" s="107"/>
      <c r="M249" s="12" t="b">
        <f t="shared" si="4"/>
        <v>0</v>
      </c>
    </row>
    <row r="250" spans="2:13" ht="22.5">
      <c r="B250" s="26">
        <v>238</v>
      </c>
      <c r="C250" s="77"/>
      <c r="D250" s="69"/>
      <c r="E250" s="84"/>
      <c r="F250" s="93"/>
      <c r="G250" s="75"/>
      <c r="H250" s="106"/>
      <c r="I250" s="106"/>
      <c r="J250" s="106"/>
      <c r="K250" s="103"/>
      <c r="L250" s="107"/>
      <c r="M250" s="12" t="b">
        <f t="shared" si="4"/>
        <v>0</v>
      </c>
    </row>
    <row r="251" spans="2:13" ht="22.5">
      <c r="B251" s="26">
        <v>239</v>
      </c>
      <c r="C251" s="77"/>
      <c r="D251" s="69"/>
      <c r="E251" s="84"/>
      <c r="F251" s="93"/>
      <c r="G251" s="75"/>
      <c r="H251" s="106"/>
      <c r="I251" s="106"/>
      <c r="J251" s="106"/>
      <c r="K251" s="103"/>
      <c r="L251" s="107"/>
      <c r="M251" s="12" t="b">
        <f t="shared" si="4"/>
        <v>0</v>
      </c>
    </row>
    <row r="252" spans="2:13" ht="22.5">
      <c r="B252" s="26">
        <v>240</v>
      </c>
      <c r="C252" s="77"/>
      <c r="D252" s="69"/>
      <c r="E252" s="84"/>
      <c r="F252" s="93"/>
      <c r="G252" s="75"/>
      <c r="H252" s="106"/>
      <c r="I252" s="106"/>
      <c r="J252" s="106"/>
      <c r="K252" s="103"/>
      <c r="L252" s="107"/>
      <c r="M252" s="12" t="b">
        <f t="shared" si="4"/>
        <v>0</v>
      </c>
    </row>
    <row r="253" spans="2:13" ht="22.5">
      <c r="B253" s="26">
        <v>241</v>
      </c>
      <c r="C253" s="77"/>
      <c r="D253" s="69"/>
      <c r="E253" s="84"/>
      <c r="F253" s="93"/>
      <c r="G253" s="75"/>
      <c r="H253" s="106"/>
      <c r="I253" s="106"/>
      <c r="J253" s="106"/>
      <c r="K253" s="103"/>
      <c r="L253" s="107"/>
      <c r="M253" s="12" t="b">
        <f t="shared" si="4"/>
        <v>0</v>
      </c>
    </row>
    <row r="254" spans="2:13" ht="22.5">
      <c r="B254" s="26">
        <v>242</v>
      </c>
      <c r="C254" s="77"/>
      <c r="D254" s="69"/>
      <c r="E254" s="84"/>
      <c r="F254" s="93"/>
      <c r="G254" s="75"/>
      <c r="H254" s="106"/>
      <c r="I254" s="106"/>
      <c r="J254" s="106"/>
      <c r="K254" s="103"/>
      <c r="L254" s="107"/>
      <c r="M254" s="12" t="b">
        <f t="shared" si="4"/>
        <v>0</v>
      </c>
    </row>
    <row r="255" spans="2:13" ht="22.5">
      <c r="B255" s="26">
        <v>243</v>
      </c>
      <c r="C255" s="77"/>
      <c r="D255" s="69"/>
      <c r="E255" s="84"/>
      <c r="F255" s="93"/>
      <c r="G255" s="75"/>
      <c r="H255" s="106"/>
      <c r="I255" s="106"/>
      <c r="J255" s="106"/>
      <c r="K255" s="103"/>
      <c r="L255" s="107"/>
      <c r="M255" s="12" t="b">
        <f t="shared" si="4"/>
        <v>0</v>
      </c>
    </row>
    <row r="256" spans="2:13" ht="22.5">
      <c r="B256" s="26">
        <v>244</v>
      </c>
      <c r="C256" s="77"/>
      <c r="D256" s="69"/>
      <c r="E256" s="84"/>
      <c r="F256" s="93"/>
      <c r="G256" s="75"/>
      <c r="H256" s="106"/>
      <c r="I256" s="106"/>
      <c r="J256" s="106"/>
      <c r="K256" s="103"/>
      <c r="L256" s="107"/>
      <c r="M256" s="12" t="b">
        <f t="shared" si="4"/>
        <v>0</v>
      </c>
    </row>
    <row r="257" spans="2:13" ht="22.5">
      <c r="B257" s="26">
        <v>245</v>
      </c>
      <c r="C257" s="77"/>
      <c r="D257" s="69"/>
      <c r="E257" s="84"/>
      <c r="F257" s="93"/>
      <c r="G257" s="75"/>
      <c r="H257" s="106"/>
      <c r="I257" s="106"/>
      <c r="J257" s="106"/>
      <c r="K257" s="103"/>
      <c r="L257" s="107"/>
      <c r="M257" s="12" t="b">
        <f t="shared" si="4"/>
        <v>0</v>
      </c>
    </row>
    <row r="258" spans="2:13" ht="22.5">
      <c r="B258" s="26">
        <v>246</v>
      </c>
      <c r="C258" s="77"/>
      <c r="D258" s="69"/>
      <c r="E258" s="84"/>
      <c r="F258" s="93"/>
      <c r="G258" s="75"/>
      <c r="H258" s="106"/>
      <c r="I258" s="106"/>
      <c r="J258" s="106"/>
      <c r="K258" s="103"/>
      <c r="L258" s="107"/>
      <c r="M258" s="12" t="b">
        <f t="shared" si="4"/>
        <v>0</v>
      </c>
    </row>
    <row r="259" spans="2:13" ht="22.5">
      <c r="B259" s="26">
        <v>247</v>
      </c>
      <c r="C259" s="77"/>
      <c r="D259" s="69"/>
      <c r="E259" s="84"/>
      <c r="F259" s="93"/>
      <c r="G259" s="75"/>
      <c r="H259" s="106"/>
      <c r="I259" s="106"/>
      <c r="J259" s="106"/>
      <c r="K259" s="103"/>
      <c r="L259" s="107"/>
      <c r="M259" s="12" t="b">
        <f t="shared" si="4"/>
        <v>0</v>
      </c>
    </row>
    <row r="260" spans="2:13" ht="22.5">
      <c r="B260" s="26">
        <v>248</v>
      </c>
      <c r="C260" s="77"/>
      <c r="D260" s="69"/>
      <c r="E260" s="84"/>
      <c r="F260" s="93"/>
      <c r="G260" s="75"/>
      <c r="H260" s="106"/>
      <c r="I260" s="106"/>
      <c r="J260" s="106"/>
      <c r="K260" s="103"/>
      <c r="L260" s="107"/>
      <c r="M260" s="12" t="b">
        <f t="shared" si="4"/>
        <v>0</v>
      </c>
    </row>
    <row r="261" spans="2:13" ht="22.5">
      <c r="B261" s="26">
        <v>249</v>
      </c>
      <c r="C261" s="77"/>
      <c r="D261" s="69"/>
      <c r="E261" s="84"/>
      <c r="F261" s="93"/>
      <c r="G261" s="75"/>
      <c r="H261" s="106"/>
      <c r="I261" s="106"/>
      <c r="J261" s="106"/>
      <c r="K261" s="103"/>
      <c r="L261" s="107"/>
      <c r="M261" s="12" t="b">
        <f t="shared" si="4"/>
        <v>0</v>
      </c>
    </row>
    <row r="262" spans="2:13" ht="22.5">
      <c r="B262" s="26">
        <v>250</v>
      </c>
      <c r="C262" s="77"/>
      <c r="D262" s="69"/>
      <c r="E262" s="84"/>
      <c r="F262" s="93"/>
      <c r="G262" s="75"/>
      <c r="H262" s="106"/>
      <c r="I262" s="106"/>
      <c r="J262" s="106"/>
      <c r="K262" s="103"/>
      <c r="L262" s="107"/>
      <c r="M262" s="12" t="b">
        <f t="shared" si="4"/>
        <v>0</v>
      </c>
    </row>
    <row r="263" spans="2:13" ht="22.5">
      <c r="B263" s="26">
        <v>251</v>
      </c>
      <c r="C263" s="77"/>
      <c r="D263" s="69"/>
      <c r="E263" s="84"/>
      <c r="F263" s="93"/>
      <c r="G263" s="75"/>
      <c r="H263" s="106"/>
      <c r="I263" s="106"/>
      <c r="J263" s="106"/>
      <c r="K263" s="103"/>
      <c r="L263" s="107"/>
      <c r="M263" s="12" t="b">
        <f t="shared" si="4"/>
        <v>0</v>
      </c>
    </row>
    <row r="264" spans="2:13" ht="22.5">
      <c r="B264" s="26">
        <v>252</v>
      </c>
      <c r="C264" s="77"/>
      <c r="D264" s="69"/>
      <c r="E264" s="84"/>
      <c r="F264" s="93"/>
      <c r="G264" s="75"/>
      <c r="H264" s="106"/>
      <c r="I264" s="106"/>
      <c r="J264" s="106"/>
      <c r="K264" s="103"/>
      <c r="L264" s="107"/>
      <c r="M264" s="12" t="b">
        <f t="shared" si="4"/>
        <v>0</v>
      </c>
    </row>
    <row r="265" spans="2:13" ht="22.5">
      <c r="B265" s="26">
        <v>253</v>
      </c>
      <c r="C265" s="77"/>
      <c r="D265" s="69"/>
      <c r="E265" s="84"/>
      <c r="F265" s="93"/>
      <c r="G265" s="75"/>
      <c r="H265" s="106"/>
      <c r="I265" s="106"/>
      <c r="J265" s="106"/>
      <c r="K265" s="103"/>
      <c r="L265" s="107"/>
      <c r="M265" s="12" t="b">
        <f t="shared" si="4"/>
        <v>0</v>
      </c>
    </row>
    <row r="266" spans="2:13" ht="22.5">
      <c r="B266" s="26">
        <v>254</v>
      </c>
      <c r="C266" s="77"/>
      <c r="D266" s="69"/>
      <c r="E266" s="84"/>
      <c r="F266" s="93"/>
      <c r="G266" s="75"/>
      <c r="H266" s="106"/>
      <c r="I266" s="106"/>
      <c r="J266" s="106"/>
      <c r="K266" s="103"/>
      <c r="L266" s="107"/>
      <c r="M266" s="12" t="b">
        <f t="shared" si="4"/>
        <v>0</v>
      </c>
    </row>
    <row r="267" spans="2:13" ht="22.5">
      <c r="B267" s="26">
        <v>255</v>
      </c>
      <c r="C267" s="77"/>
      <c r="D267" s="69"/>
      <c r="E267" s="84"/>
      <c r="F267" s="93"/>
      <c r="G267" s="75"/>
      <c r="H267" s="106"/>
      <c r="I267" s="106"/>
      <c r="J267" s="106"/>
      <c r="K267" s="103"/>
      <c r="L267" s="107"/>
      <c r="M267" s="12" t="b">
        <f t="shared" si="4"/>
        <v>0</v>
      </c>
    </row>
    <row r="268" spans="2:13" ht="22.5">
      <c r="B268" s="26">
        <v>256</v>
      </c>
      <c r="C268" s="77"/>
      <c r="D268" s="69"/>
      <c r="E268" s="84"/>
      <c r="F268" s="93"/>
      <c r="G268" s="75"/>
      <c r="H268" s="106"/>
      <c r="I268" s="106"/>
      <c r="J268" s="106"/>
      <c r="K268" s="103"/>
      <c r="L268" s="107"/>
      <c r="M268" s="12" t="b">
        <f t="shared" si="4"/>
        <v>0</v>
      </c>
    </row>
    <row r="269" spans="2:13" ht="22.5">
      <c r="B269" s="26">
        <v>257</v>
      </c>
      <c r="C269" s="77"/>
      <c r="D269" s="69"/>
      <c r="E269" s="84"/>
      <c r="F269" s="93"/>
      <c r="G269" s="75"/>
      <c r="H269" s="106"/>
      <c r="I269" s="106"/>
      <c r="J269" s="106"/>
      <c r="K269" s="103"/>
      <c r="L269" s="107"/>
      <c r="M269" s="12" t="b">
        <f t="shared" ref="M269:M332" si="5">IF(COUNTA(E269:G269)=0,FALSE,TRUE)</f>
        <v>0</v>
      </c>
    </row>
    <row r="270" spans="2:13" ht="22.5">
      <c r="B270" s="26">
        <v>258</v>
      </c>
      <c r="C270" s="77"/>
      <c r="D270" s="69"/>
      <c r="E270" s="84"/>
      <c r="F270" s="93"/>
      <c r="G270" s="75"/>
      <c r="H270" s="106"/>
      <c r="I270" s="106"/>
      <c r="J270" s="106"/>
      <c r="K270" s="103"/>
      <c r="L270" s="107"/>
      <c r="M270" s="12" t="b">
        <f t="shared" si="5"/>
        <v>0</v>
      </c>
    </row>
    <row r="271" spans="2:13" ht="22.5">
      <c r="B271" s="26">
        <v>259</v>
      </c>
      <c r="C271" s="77"/>
      <c r="D271" s="69"/>
      <c r="E271" s="84"/>
      <c r="F271" s="93"/>
      <c r="G271" s="75"/>
      <c r="H271" s="106"/>
      <c r="I271" s="106"/>
      <c r="J271" s="106"/>
      <c r="K271" s="103"/>
      <c r="L271" s="107"/>
      <c r="M271" s="12" t="b">
        <f t="shared" si="5"/>
        <v>0</v>
      </c>
    </row>
    <row r="272" spans="2:13" ht="22.5">
      <c r="B272" s="26">
        <v>260</v>
      </c>
      <c r="C272" s="77"/>
      <c r="D272" s="69"/>
      <c r="E272" s="84"/>
      <c r="F272" s="93"/>
      <c r="G272" s="75"/>
      <c r="H272" s="106"/>
      <c r="I272" s="106"/>
      <c r="J272" s="106"/>
      <c r="K272" s="103"/>
      <c r="L272" s="107"/>
      <c r="M272" s="12" t="b">
        <f t="shared" si="5"/>
        <v>0</v>
      </c>
    </row>
    <row r="273" spans="2:13" ht="22.5">
      <c r="B273" s="26">
        <v>261</v>
      </c>
      <c r="C273" s="77"/>
      <c r="D273" s="69"/>
      <c r="E273" s="84"/>
      <c r="F273" s="93"/>
      <c r="G273" s="75"/>
      <c r="H273" s="106"/>
      <c r="I273" s="106"/>
      <c r="J273" s="106"/>
      <c r="K273" s="103"/>
      <c r="L273" s="107"/>
      <c r="M273" s="12" t="b">
        <f t="shared" si="5"/>
        <v>0</v>
      </c>
    </row>
    <row r="274" spans="2:13" ht="22.5">
      <c r="B274" s="26">
        <v>262</v>
      </c>
      <c r="C274" s="77"/>
      <c r="D274" s="69"/>
      <c r="E274" s="84"/>
      <c r="F274" s="93"/>
      <c r="G274" s="75"/>
      <c r="H274" s="106"/>
      <c r="I274" s="106"/>
      <c r="J274" s="106"/>
      <c r="K274" s="103"/>
      <c r="L274" s="107"/>
      <c r="M274" s="12" t="b">
        <f t="shared" si="5"/>
        <v>0</v>
      </c>
    </row>
    <row r="275" spans="2:13" ht="22.5">
      <c r="B275" s="26">
        <v>263</v>
      </c>
      <c r="C275" s="77"/>
      <c r="D275" s="69"/>
      <c r="E275" s="84"/>
      <c r="F275" s="93"/>
      <c r="G275" s="75"/>
      <c r="H275" s="106"/>
      <c r="I275" s="106"/>
      <c r="J275" s="106"/>
      <c r="K275" s="103"/>
      <c r="L275" s="107"/>
      <c r="M275" s="12" t="b">
        <f t="shared" si="5"/>
        <v>0</v>
      </c>
    </row>
    <row r="276" spans="2:13" ht="22.5">
      <c r="B276" s="26">
        <v>264</v>
      </c>
      <c r="C276" s="77"/>
      <c r="D276" s="69"/>
      <c r="E276" s="84"/>
      <c r="F276" s="93"/>
      <c r="G276" s="75"/>
      <c r="H276" s="106"/>
      <c r="I276" s="106"/>
      <c r="J276" s="106"/>
      <c r="K276" s="103"/>
      <c r="L276" s="107"/>
      <c r="M276" s="12" t="b">
        <f t="shared" si="5"/>
        <v>0</v>
      </c>
    </row>
    <row r="277" spans="2:13" ht="22.5">
      <c r="B277" s="26">
        <v>265</v>
      </c>
      <c r="C277" s="77"/>
      <c r="D277" s="69"/>
      <c r="E277" s="84"/>
      <c r="F277" s="93"/>
      <c r="G277" s="75"/>
      <c r="H277" s="106"/>
      <c r="I277" s="106"/>
      <c r="J277" s="106"/>
      <c r="K277" s="103"/>
      <c r="L277" s="107"/>
      <c r="M277" s="12" t="b">
        <f t="shared" si="5"/>
        <v>0</v>
      </c>
    </row>
    <row r="278" spans="2:13" ht="22.5">
      <c r="B278" s="26">
        <v>266</v>
      </c>
      <c r="C278" s="77"/>
      <c r="D278" s="69"/>
      <c r="E278" s="84"/>
      <c r="F278" s="93"/>
      <c r="G278" s="75"/>
      <c r="H278" s="106"/>
      <c r="I278" s="106"/>
      <c r="J278" s="106"/>
      <c r="K278" s="103"/>
      <c r="L278" s="107"/>
      <c r="M278" s="12" t="b">
        <f t="shared" si="5"/>
        <v>0</v>
      </c>
    </row>
    <row r="279" spans="2:13" ht="22.5">
      <c r="B279" s="26">
        <v>267</v>
      </c>
      <c r="C279" s="77"/>
      <c r="D279" s="69"/>
      <c r="E279" s="84"/>
      <c r="F279" s="93"/>
      <c r="G279" s="75"/>
      <c r="H279" s="106"/>
      <c r="I279" s="106"/>
      <c r="J279" s="106"/>
      <c r="K279" s="103"/>
      <c r="L279" s="107"/>
      <c r="M279" s="12" t="b">
        <f t="shared" si="5"/>
        <v>0</v>
      </c>
    </row>
    <row r="280" spans="2:13" ht="22.5">
      <c r="B280" s="26">
        <v>268</v>
      </c>
      <c r="C280" s="77"/>
      <c r="D280" s="69"/>
      <c r="E280" s="84"/>
      <c r="F280" s="93"/>
      <c r="G280" s="75"/>
      <c r="H280" s="106"/>
      <c r="I280" s="106"/>
      <c r="J280" s="106"/>
      <c r="K280" s="103"/>
      <c r="L280" s="107"/>
      <c r="M280" s="12" t="b">
        <f t="shared" si="5"/>
        <v>0</v>
      </c>
    </row>
    <row r="281" spans="2:13" ht="22.5">
      <c r="B281" s="26">
        <v>269</v>
      </c>
      <c r="C281" s="77"/>
      <c r="D281" s="69"/>
      <c r="E281" s="84"/>
      <c r="F281" s="93"/>
      <c r="G281" s="75"/>
      <c r="H281" s="106"/>
      <c r="I281" s="106"/>
      <c r="J281" s="106"/>
      <c r="K281" s="103"/>
      <c r="L281" s="107"/>
      <c r="M281" s="12" t="b">
        <f t="shared" si="5"/>
        <v>0</v>
      </c>
    </row>
    <row r="282" spans="2:13" ht="22.5">
      <c r="B282" s="26">
        <v>270</v>
      </c>
      <c r="C282" s="77"/>
      <c r="D282" s="69"/>
      <c r="E282" s="84"/>
      <c r="F282" s="93"/>
      <c r="G282" s="75"/>
      <c r="H282" s="106"/>
      <c r="I282" s="106"/>
      <c r="J282" s="106"/>
      <c r="K282" s="103"/>
      <c r="L282" s="107"/>
      <c r="M282" s="12" t="b">
        <f t="shared" si="5"/>
        <v>0</v>
      </c>
    </row>
    <row r="283" spans="2:13" ht="22.5">
      <c r="B283" s="26">
        <v>271</v>
      </c>
      <c r="C283" s="77"/>
      <c r="D283" s="69"/>
      <c r="E283" s="84"/>
      <c r="F283" s="93"/>
      <c r="G283" s="75"/>
      <c r="H283" s="106"/>
      <c r="I283" s="106"/>
      <c r="J283" s="106"/>
      <c r="K283" s="103"/>
      <c r="L283" s="107"/>
      <c r="M283" s="12" t="b">
        <f t="shared" si="5"/>
        <v>0</v>
      </c>
    </row>
    <row r="284" spans="2:13" ht="22.5">
      <c r="B284" s="26">
        <v>272</v>
      </c>
      <c r="C284" s="77"/>
      <c r="D284" s="69"/>
      <c r="E284" s="84"/>
      <c r="F284" s="93"/>
      <c r="G284" s="75"/>
      <c r="H284" s="106"/>
      <c r="I284" s="106"/>
      <c r="J284" s="106"/>
      <c r="K284" s="103"/>
      <c r="L284" s="107"/>
      <c r="M284" s="12" t="b">
        <f t="shared" si="5"/>
        <v>0</v>
      </c>
    </row>
    <row r="285" spans="2:13" ht="22.5">
      <c r="B285" s="26">
        <v>273</v>
      </c>
      <c r="C285" s="77"/>
      <c r="D285" s="69"/>
      <c r="E285" s="84"/>
      <c r="F285" s="93"/>
      <c r="G285" s="75"/>
      <c r="H285" s="106"/>
      <c r="I285" s="106"/>
      <c r="J285" s="106"/>
      <c r="K285" s="103"/>
      <c r="L285" s="107"/>
      <c r="M285" s="12" t="b">
        <f t="shared" si="5"/>
        <v>0</v>
      </c>
    </row>
    <row r="286" spans="2:13" ht="22.5">
      <c r="B286" s="26">
        <v>274</v>
      </c>
      <c r="C286" s="77"/>
      <c r="D286" s="69"/>
      <c r="E286" s="84"/>
      <c r="F286" s="93"/>
      <c r="G286" s="75"/>
      <c r="H286" s="106"/>
      <c r="I286" s="106"/>
      <c r="J286" s="106"/>
      <c r="K286" s="103"/>
      <c r="L286" s="107"/>
      <c r="M286" s="12" t="b">
        <f t="shared" si="5"/>
        <v>0</v>
      </c>
    </row>
    <row r="287" spans="2:13" ht="22.5">
      <c r="B287" s="26">
        <v>275</v>
      </c>
      <c r="C287" s="77"/>
      <c r="D287" s="69"/>
      <c r="E287" s="84"/>
      <c r="F287" s="93"/>
      <c r="G287" s="75"/>
      <c r="H287" s="106"/>
      <c r="I287" s="106"/>
      <c r="J287" s="106"/>
      <c r="K287" s="103"/>
      <c r="L287" s="107"/>
      <c r="M287" s="12" t="b">
        <f t="shared" si="5"/>
        <v>0</v>
      </c>
    </row>
    <row r="288" spans="2:13" ht="22.5">
      <c r="B288" s="26">
        <v>276</v>
      </c>
      <c r="C288" s="77"/>
      <c r="D288" s="69"/>
      <c r="E288" s="84"/>
      <c r="F288" s="93"/>
      <c r="G288" s="75"/>
      <c r="H288" s="106"/>
      <c r="I288" s="106"/>
      <c r="J288" s="106"/>
      <c r="K288" s="103"/>
      <c r="L288" s="107"/>
      <c r="M288" s="12" t="b">
        <f t="shared" si="5"/>
        <v>0</v>
      </c>
    </row>
    <row r="289" spans="2:13" ht="22.5">
      <c r="B289" s="26">
        <v>277</v>
      </c>
      <c r="C289" s="77"/>
      <c r="D289" s="69"/>
      <c r="E289" s="84"/>
      <c r="F289" s="93"/>
      <c r="G289" s="75"/>
      <c r="H289" s="106"/>
      <c r="I289" s="106"/>
      <c r="J289" s="106"/>
      <c r="K289" s="103"/>
      <c r="L289" s="107"/>
      <c r="M289" s="12" t="b">
        <f t="shared" si="5"/>
        <v>0</v>
      </c>
    </row>
    <row r="290" spans="2:13" ht="22.5">
      <c r="B290" s="26">
        <v>278</v>
      </c>
      <c r="C290" s="77"/>
      <c r="D290" s="69"/>
      <c r="E290" s="84"/>
      <c r="F290" s="93"/>
      <c r="G290" s="75"/>
      <c r="H290" s="106"/>
      <c r="I290" s="106"/>
      <c r="J290" s="106"/>
      <c r="K290" s="103"/>
      <c r="L290" s="107"/>
      <c r="M290" s="12" t="b">
        <f t="shared" si="5"/>
        <v>0</v>
      </c>
    </row>
    <row r="291" spans="2:13" ht="22.5">
      <c r="B291" s="26">
        <v>279</v>
      </c>
      <c r="C291" s="77"/>
      <c r="D291" s="69"/>
      <c r="E291" s="84"/>
      <c r="F291" s="93"/>
      <c r="G291" s="75"/>
      <c r="H291" s="106"/>
      <c r="I291" s="106"/>
      <c r="J291" s="106"/>
      <c r="K291" s="103"/>
      <c r="L291" s="107"/>
      <c r="M291" s="12" t="b">
        <f t="shared" si="5"/>
        <v>0</v>
      </c>
    </row>
    <row r="292" spans="2:13" ht="22.5">
      <c r="B292" s="26">
        <v>280</v>
      </c>
      <c r="C292" s="77"/>
      <c r="D292" s="69"/>
      <c r="E292" s="84"/>
      <c r="F292" s="93"/>
      <c r="G292" s="75"/>
      <c r="H292" s="106"/>
      <c r="I292" s="106"/>
      <c r="J292" s="106"/>
      <c r="K292" s="103"/>
      <c r="L292" s="107"/>
      <c r="M292" s="12" t="b">
        <f t="shared" si="5"/>
        <v>0</v>
      </c>
    </row>
    <row r="293" spans="2:13" ht="22.5">
      <c r="B293" s="26">
        <v>281</v>
      </c>
      <c r="C293" s="77"/>
      <c r="D293" s="69"/>
      <c r="E293" s="84"/>
      <c r="F293" s="93"/>
      <c r="G293" s="75"/>
      <c r="H293" s="106"/>
      <c r="I293" s="106"/>
      <c r="J293" s="106"/>
      <c r="K293" s="103"/>
      <c r="L293" s="107"/>
      <c r="M293" s="12" t="b">
        <f t="shared" si="5"/>
        <v>0</v>
      </c>
    </row>
    <row r="294" spans="2:13" ht="22.5">
      <c r="B294" s="26">
        <v>282</v>
      </c>
      <c r="C294" s="77"/>
      <c r="D294" s="69"/>
      <c r="E294" s="84"/>
      <c r="F294" s="93"/>
      <c r="G294" s="75"/>
      <c r="H294" s="106"/>
      <c r="I294" s="106"/>
      <c r="J294" s="106"/>
      <c r="K294" s="103"/>
      <c r="L294" s="107"/>
      <c r="M294" s="12" t="b">
        <f t="shared" si="5"/>
        <v>0</v>
      </c>
    </row>
    <row r="295" spans="2:13" ht="22.5">
      <c r="B295" s="26">
        <v>283</v>
      </c>
      <c r="C295" s="77"/>
      <c r="D295" s="69"/>
      <c r="E295" s="84"/>
      <c r="F295" s="93"/>
      <c r="G295" s="75"/>
      <c r="H295" s="106"/>
      <c r="I295" s="106"/>
      <c r="J295" s="106"/>
      <c r="K295" s="103"/>
      <c r="L295" s="107"/>
      <c r="M295" s="12" t="b">
        <f t="shared" si="5"/>
        <v>0</v>
      </c>
    </row>
    <row r="296" spans="2:13" ht="22.5">
      <c r="B296" s="26">
        <v>284</v>
      </c>
      <c r="C296" s="77"/>
      <c r="D296" s="69"/>
      <c r="E296" s="84"/>
      <c r="F296" s="93"/>
      <c r="G296" s="75"/>
      <c r="H296" s="106"/>
      <c r="I296" s="106"/>
      <c r="J296" s="106"/>
      <c r="K296" s="103"/>
      <c r="L296" s="107"/>
      <c r="M296" s="12" t="b">
        <f t="shared" si="5"/>
        <v>0</v>
      </c>
    </row>
    <row r="297" spans="2:13" ht="22.5">
      <c r="B297" s="26">
        <v>285</v>
      </c>
      <c r="C297" s="77"/>
      <c r="D297" s="69"/>
      <c r="E297" s="84"/>
      <c r="F297" s="93"/>
      <c r="G297" s="75"/>
      <c r="H297" s="106"/>
      <c r="I297" s="106"/>
      <c r="J297" s="106"/>
      <c r="K297" s="103"/>
      <c r="L297" s="107"/>
      <c r="M297" s="12" t="b">
        <f t="shared" si="5"/>
        <v>0</v>
      </c>
    </row>
    <row r="298" spans="2:13" ht="22.5">
      <c r="B298" s="26">
        <v>286</v>
      </c>
      <c r="C298" s="77"/>
      <c r="D298" s="69"/>
      <c r="E298" s="84"/>
      <c r="F298" s="93"/>
      <c r="G298" s="75"/>
      <c r="H298" s="106"/>
      <c r="I298" s="106"/>
      <c r="J298" s="106"/>
      <c r="K298" s="103"/>
      <c r="L298" s="107"/>
      <c r="M298" s="12" t="b">
        <f t="shared" si="5"/>
        <v>0</v>
      </c>
    </row>
    <row r="299" spans="2:13" ht="22.5">
      <c r="B299" s="26">
        <v>287</v>
      </c>
      <c r="C299" s="77"/>
      <c r="D299" s="69"/>
      <c r="E299" s="84"/>
      <c r="F299" s="93"/>
      <c r="G299" s="75"/>
      <c r="H299" s="106"/>
      <c r="I299" s="106"/>
      <c r="J299" s="106"/>
      <c r="K299" s="103"/>
      <c r="L299" s="107"/>
      <c r="M299" s="12" t="b">
        <f t="shared" si="5"/>
        <v>0</v>
      </c>
    </row>
    <row r="300" spans="2:13" ht="22.5">
      <c r="B300" s="26">
        <v>288</v>
      </c>
      <c r="C300" s="77"/>
      <c r="D300" s="69"/>
      <c r="E300" s="84"/>
      <c r="F300" s="93"/>
      <c r="G300" s="75"/>
      <c r="H300" s="106"/>
      <c r="I300" s="106"/>
      <c r="J300" s="106"/>
      <c r="K300" s="103"/>
      <c r="L300" s="107"/>
      <c r="M300" s="12" t="b">
        <f t="shared" si="5"/>
        <v>0</v>
      </c>
    </row>
    <row r="301" spans="2:13" ht="22.5">
      <c r="B301" s="26">
        <v>289</v>
      </c>
      <c r="C301" s="77"/>
      <c r="D301" s="69"/>
      <c r="E301" s="84"/>
      <c r="F301" s="93"/>
      <c r="G301" s="75"/>
      <c r="H301" s="106"/>
      <c r="I301" s="106"/>
      <c r="J301" s="106"/>
      <c r="K301" s="103"/>
      <c r="L301" s="107"/>
      <c r="M301" s="12" t="b">
        <f t="shared" si="5"/>
        <v>0</v>
      </c>
    </row>
    <row r="302" spans="2:13" ht="22.5">
      <c r="B302" s="26">
        <v>290</v>
      </c>
      <c r="C302" s="77"/>
      <c r="D302" s="69"/>
      <c r="E302" s="84"/>
      <c r="F302" s="93"/>
      <c r="G302" s="75"/>
      <c r="H302" s="106"/>
      <c r="I302" s="106"/>
      <c r="J302" s="106"/>
      <c r="K302" s="103"/>
      <c r="L302" s="107"/>
      <c r="M302" s="12" t="b">
        <f t="shared" si="5"/>
        <v>0</v>
      </c>
    </row>
    <row r="303" spans="2:13" ht="22.5">
      <c r="B303" s="26">
        <v>291</v>
      </c>
      <c r="C303" s="77"/>
      <c r="D303" s="69"/>
      <c r="E303" s="84"/>
      <c r="F303" s="93"/>
      <c r="G303" s="75"/>
      <c r="H303" s="106"/>
      <c r="I303" s="106"/>
      <c r="J303" s="106"/>
      <c r="K303" s="103"/>
      <c r="L303" s="107"/>
      <c r="M303" s="12" t="b">
        <f t="shared" si="5"/>
        <v>0</v>
      </c>
    </row>
    <row r="304" spans="2:13" ht="22.5">
      <c r="B304" s="26">
        <v>292</v>
      </c>
      <c r="C304" s="77"/>
      <c r="D304" s="69"/>
      <c r="E304" s="84"/>
      <c r="F304" s="93"/>
      <c r="G304" s="75"/>
      <c r="H304" s="106"/>
      <c r="I304" s="106"/>
      <c r="J304" s="106"/>
      <c r="K304" s="103"/>
      <c r="L304" s="107"/>
      <c r="M304" s="12" t="b">
        <f t="shared" si="5"/>
        <v>0</v>
      </c>
    </row>
    <row r="305" spans="2:13" ht="22.5">
      <c r="B305" s="26">
        <v>293</v>
      </c>
      <c r="C305" s="77"/>
      <c r="D305" s="69"/>
      <c r="E305" s="84"/>
      <c r="F305" s="93"/>
      <c r="G305" s="75"/>
      <c r="H305" s="106"/>
      <c r="I305" s="106"/>
      <c r="J305" s="106"/>
      <c r="K305" s="103"/>
      <c r="L305" s="107"/>
      <c r="M305" s="12" t="b">
        <f t="shared" si="5"/>
        <v>0</v>
      </c>
    </row>
    <row r="306" spans="2:13" ht="22.5">
      <c r="B306" s="26">
        <v>294</v>
      </c>
      <c r="C306" s="77"/>
      <c r="D306" s="69"/>
      <c r="E306" s="84"/>
      <c r="F306" s="93"/>
      <c r="G306" s="75"/>
      <c r="H306" s="106"/>
      <c r="I306" s="106"/>
      <c r="J306" s="106"/>
      <c r="K306" s="103"/>
      <c r="L306" s="107"/>
      <c r="M306" s="12" t="b">
        <f t="shared" si="5"/>
        <v>0</v>
      </c>
    </row>
    <row r="307" spans="2:13" ht="22.5">
      <c r="B307" s="26">
        <v>295</v>
      </c>
      <c r="C307" s="77"/>
      <c r="D307" s="69"/>
      <c r="E307" s="84"/>
      <c r="F307" s="93"/>
      <c r="G307" s="75"/>
      <c r="H307" s="106"/>
      <c r="I307" s="106"/>
      <c r="J307" s="106"/>
      <c r="K307" s="103"/>
      <c r="L307" s="107"/>
      <c r="M307" s="12" t="b">
        <f t="shared" si="5"/>
        <v>0</v>
      </c>
    </row>
    <row r="308" spans="2:13" ht="22.5">
      <c r="B308" s="26">
        <v>296</v>
      </c>
      <c r="C308" s="77"/>
      <c r="D308" s="69"/>
      <c r="E308" s="84"/>
      <c r="F308" s="93"/>
      <c r="G308" s="75"/>
      <c r="H308" s="106"/>
      <c r="I308" s="106"/>
      <c r="J308" s="106"/>
      <c r="K308" s="103"/>
      <c r="L308" s="107"/>
      <c r="M308" s="12" t="b">
        <f t="shared" si="5"/>
        <v>0</v>
      </c>
    </row>
    <row r="309" spans="2:13" ht="22.5">
      <c r="B309" s="26">
        <v>297</v>
      </c>
      <c r="C309" s="77"/>
      <c r="D309" s="69"/>
      <c r="E309" s="84"/>
      <c r="F309" s="93"/>
      <c r="G309" s="75"/>
      <c r="H309" s="106"/>
      <c r="I309" s="106"/>
      <c r="J309" s="106"/>
      <c r="K309" s="103"/>
      <c r="L309" s="107"/>
      <c r="M309" s="12" t="b">
        <f t="shared" si="5"/>
        <v>0</v>
      </c>
    </row>
    <row r="310" spans="2:13" ht="22.5">
      <c r="B310" s="26">
        <v>298</v>
      </c>
      <c r="C310" s="77"/>
      <c r="D310" s="69"/>
      <c r="E310" s="84"/>
      <c r="F310" s="93"/>
      <c r="G310" s="75"/>
      <c r="H310" s="106"/>
      <c r="I310" s="106"/>
      <c r="J310" s="106"/>
      <c r="K310" s="103"/>
      <c r="L310" s="107"/>
      <c r="M310" s="12" t="b">
        <f t="shared" si="5"/>
        <v>0</v>
      </c>
    </row>
    <row r="311" spans="2:13" ht="22.5">
      <c r="B311" s="26">
        <v>299</v>
      </c>
      <c r="C311" s="77"/>
      <c r="D311" s="69"/>
      <c r="E311" s="84"/>
      <c r="F311" s="93"/>
      <c r="G311" s="75"/>
      <c r="H311" s="106"/>
      <c r="I311" s="106"/>
      <c r="J311" s="106"/>
      <c r="K311" s="103"/>
      <c r="L311" s="107"/>
      <c r="M311" s="12" t="b">
        <f t="shared" si="5"/>
        <v>0</v>
      </c>
    </row>
    <row r="312" spans="2:13" ht="22.5">
      <c r="B312" s="26">
        <v>300</v>
      </c>
      <c r="C312" s="77"/>
      <c r="D312" s="69"/>
      <c r="E312" s="84"/>
      <c r="F312" s="93"/>
      <c r="G312" s="75"/>
      <c r="H312" s="106"/>
      <c r="I312" s="106"/>
      <c r="J312" s="106"/>
      <c r="K312" s="103"/>
      <c r="L312" s="107"/>
      <c r="M312" s="12" t="b">
        <f t="shared" si="5"/>
        <v>0</v>
      </c>
    </row>
    <row r="313" spans="2:13" ht="22.5">
      <c r="B313" s="26">
        <v>301</v>
      </c>
      <c r="C313" s="77"/>
      <c r="D313" s="69"/>
      <c r="E313" s="84"/>
      <c r="F313" s="93"/>
      <c r="G313" s="75"/>
      <c r="H313" s="106"/>
      <c r="I313" s="106"/>
      <c r="J313" s="106"/>
      <c r="K313" s="103"/>
      <c r="L313" s="107"/>
      <c r="M313" s="12" t="b">
        <f t="shared" si="5"/>
        <v>0</v>
      </c>
    </row>
    <row r="314" spans="2:13" ht="22.5">
      <c r="B314" s="26">
        <v>302</v>
      </c>
      <c r="C314" s="77"/>
      <c r="D314" s="69"/>
      <c r="E314" s="84"/>
      <c r="F314" s="93"/>
      <c r="G314" s="75"/>
      <c r="H314" s="106"/>
      <c r="I314" s="106"/>
      <c r="J314" s="106"/>
      <c r="K314" s="103"/>
      <c r="L314" s="107"/>
      <c r="M314" s="12" t="b">
        <f t="shared" si="5"/>
        <v>0</v>
      </c>
    </row>
    <row r="315" spans="2:13" ht="22.5">
      <c r="B315" s="26">
        <v>303</v>
      </c>
      <c r="C315" s="77"/>
      <c r="D315" s="69"/>
      <c r="E315" s="84"/>
      <c r="F315" s="93"/>
      <c r="G315" s="75"/>
      <c r="H315" s="106"/>
      <c r="I315" s="106"/>
      <c r="J315" s="106"/>
      <c r="K315" s="103"/>
      <c r="L315" s="107"/>
      <c r="M315" s="12" t="b">
        <f t="shared" si="5"/>
        <v>0</v>
      </c>
    </row>
    <row r="316" spans="2:13" ht="22.5">
      <c r="B316" s="26">
        <v>304</v>
      </c>
      <c r="C316" s="77"/>
      <c r="D316" s="69"/>
      <c r="E316" s="84"/>
      <c r="F316" s="93"/>
      <c r="G316" s="75"/>
      <c r="H316" s="106"/>
      <c r="I316" s="106"/>
      <c r="J316" s="106"/>
      <c r="K316" s="103"/>
      <c r="L316" s="107"/>
      <c r="M316" s="12" t="b">
        <f t="shared" si="5"/>
        <v>0</v>
      </c>
    </row>
    <row r="317" spans="2:13" ht="22.5">
      <c r="B317" s="26">
        <v>305</v>
      </c>
      <c r="C317" s="77"/>
      <c r="D317" s="69"/>
      <c r="E317" s="84"/>
      <c r="F317" s="93"/>
      <c r="G317" s="75"/>
      <c r="H317" s="106"/>
      <c r="I317" s="106"/>
      <c r="J317" s="106"/>
      <c r="K317" s="103"/>
      <c r="L317" s="107"/>
      <c r="M317" s="12" t="b">
        <f t="shared" si="5"/>
        <v>0</v>
      </c>
    </row>
    <row r="318" spans="2:13" ht="22.5">
      <c r="B318" s="26">
        <v>306</v>
      </c>
      <c r="C318" s="77"/>
      <c r="D318" s="69"/>
      <c r="E318" s="84"/>
      <c r="F318" s="93"/>
      <c r="G318" s="75"/>
      <c r="H318" s="106"/>
      <c r="I318" s="106"/>
      <c r="J318" s="106"/>
      <c r="K318" s="103"/>
      <c r="L318" s="107"/>
      <c r="M318" s="12" t="b">
        <f t="shared" si="5"/>
        <v>0</v>
      </c>
    </row>
    <row r="319" spans="2:13" ht="22.5">
      <c r="B319" s="26">
        <v>307</v>
      </c>
      <c r="C319" s="77"/>
      <c r="D319" s="69"/>
      <c r="E319" s="84"/>
      <c r="F319" s="93"/>
      <c r="G319" s="75"/>
      <c r="H319" s="106"/>
      <c r="I319" s="106"/>
      <c r="J319" s="106"/>
      <c r="K319" s="103"/>
      <c r="L319" s="107"/>
      <c r="M319" s="12" t="b">
        <f t="shared" si="5"/>
        <v>0</v>
      </c>
    </row>
    <row r="320" spans="2:13" ht="22.5">
      <c r="B320" s="26">
        <v>308</v>
      </c>
      <c r="C320" s="77"/>
      <c r="D320" s="69"/>
      <c r="E320" s="84"/>
      <c r="F320" s="93"/>
      <c r="G320" s="75"/>
      <c r="H320" s="106"/>
      <c r="I320" s="106"/>
      <c r="J320" s="106"/>
      <c r="K320" s="103"/>
      <c r="L320" s="107"/>
      <c r="M320" s="12" t="b">
        <f t="shared" si="5"/>
        <v>0</v>
      </c>
    </row>
    <row r="321" spans="2:13" ht="22.5">
      <c r="B321" s="26">
        <v>309</v>
      </c>
      <c r="C321" s="77"/>
      <c r="D321" s="69"/>
      <c r="E321" s="84"/>
      <c r="F321" s="93"/>
      <c r="G321" s="75"/>
      <c r="H321" s="106"/>
      <c r="I321" s="106"/>
      <c r="J321" s="106"/>
      <c r="K321" s="103"/>
      <c r="L321" s="107"/>
      <c r="M321" s="12" t="b">
        <f t="shared" si="5"/>
        <v>0</v>
      </c>
    </row>
    <row r="322" spans="2:13" ht="22.5">
      <c r="B322" s="26">
        <v>310</v>
      </c>
      <c r="C322" s="77"/>
      <c r="D322" s="69"/>
      <c r="E322" s="84"/>
      <c r="F322" s="93"/>
      <c r="G322" s="75"/>
      <c r="H322" s="106"/>
      <c r="I322" s="106"/>
      <c r="J322" s="106"/>
      <c r="K322" s="103"/>
      <c r="L322" s="107"/>
      <c r="M322" s="12" t="b">
        <f t="shared" si="5"/>
        <v>0</v>
      </c>
    </row>
    <row r="323" spans="2:13" ht="22.5">
      <c r="B323" s="26">
        <v>311</v>
      </c>
      <c r="C323" s="77"/>
      <c r="D323" s="69"/>
      <c r="E323" s="84"/>
      <c r="F323" s="93"/>
      <c r="G323" s="75"/>
      <c r="H323" s="106"/>
      <c r="I323" s="106"/>
      <c r="J323" s="106"/>
      <c r="K323" s="103"/>
      <c r="L323" s="107"/>
      <c r="M323" s="12" t="b">
        <f t="shared" si="5"/>
        <v>0</v>
      </c>
    </row>
    <row r="324" spans="2:13" ht="22.5">
      <c r="B324" s="26">
        <v>312</v>
      </c>
      <c r="C324" s="77"/>
      <c r="D324" s="69"/>
      <c r="E324" s="84"/>
      <c r="F324" s="93"/>
      <c r="G324" s="75"/>
      <c r="H324" s="106"/>
      <c r="I324" s="106"/>
      <c r="J324" s="106"/>
      <c r="K324" s="103"/>
      <c r="L324" s="107"/>
      <c r="M324" s="12" t="b">
        <f t="shared" si="5"/>
        <v>0</v>
      </c>
    </row>
    <row r="325" spans="2:13" ht="22.5">
      <c r="B325" s="26">
        <v>313</v>
      </c>
      <c r="C325" s="77"/>
      <c r="D325" s="69"/>
      <c r="E325" s="84"/>
      <c r="F325" s="93"/>
      <c r="G325" s="75"/>
      <c r="H325" s="106"/>
      <c r="I325" s="106"/>
      <c r="J325" s="106"/>
      <c r="K325" s="103"/>
      <c r="L325" s="107"/>
      <c r="M325" s="12" t="b">
        <f t="shared" si="5"/>
        <v>0</v>
      </c>
    </row>
    <row r="326" spans="2:13" ht="22.5">
      <c r="B326" s="26">
        <v>314</v>
      </c>
      <c r="C326" s="77"/>
      <c r="D326" s="69"/>
      <c r="E326" s="84"/>
      <c r="F326" s="93"/>
      <c r="G326" s="75"/>
      <c r="H326" s="106"/>
      <c r="I326" s="106"/>
      <c r="J326" s="106"/>
      <c r="K326" s="103"/>
      <c r="L326" s="107"/>
      <c r="M326" s="12" t="b">
        <f t="shared" si="5"/>
        <v>0</v>
      </c>
    </row>
    <row r="327" spans="2:13" ht="22.5">
      <c r="B327" s="26">
        <v>315</v>
      </c>
      <c r="C327" s="77"/>
      <c r="D327" s="69"/>
      <c r="E327" s="84"/>
      <c r="F327" s="93"/>
      <c r="G327" s="75"/>
      <c r="H327" s="106"/>
      <c r="I327" s="106"/>
      <c r="J327" s="106"/>
      <c r="K327" s="103"/>
      <c r="L327" s="107"/>
      <c r="M327" s="12" t="b">
        <f t="shared" si="5"/>
        <v>0</v>
      </c>
    </row>
    <row r="328" spans="2:13" ht="22.5">
      <c r="B328" s="26">
        <v>316</v>
      </c>
      <c r="C328" s="77"/>
      <c r="D328" s="69"/>
      <c r="E328" s="84"/>
      <c r="F328" s="93"/>
      <c r="G328" s="75"/>
      <c r="H328" s="106"/>
      <c r="I328" s="106"/>
      <c r="J328" s="106"/>
      <c r="K328" s="103"/>
      <c r="L328" s="107"/>
      <c r="M328" s="12" t="b">
        <f t="shared" si="5"/>
        <v>0</v>
      </c>
    </row>
    <row r="329" spans="2:13" ht="22.5">
      <c r="B329" s="26">
        <v>317</v>
      </c>
      <c r="C329" s="77"/>
      <c r="D329" s="69"/>
      <c r="E329" s="84"/>
      <c r="F329" s="93"/>
      <c r="G329" s="75"/>
      <c r="H329" s="106"/>
      <c r="I329" s="106"/>
      <c r="J329" s="106"/>
      <c r="K329" s="103"/>
      <c r="L329" s="107"/>
      <c r="M329" s="12" t="b">
        <f t="shared" si="5"/>
        <v>0</v>
      </c>
    </row>
    <row r="330" spans="2:13" ht="22.5">
      <c r="B330" s="26">
        <v>318</v>
      </c>
      <c r="C330" s="77"/>
      <c r="D330" s="69"/>
      <c r="E330" s="84"/>
      <c r="F330" s="93"/>
      <c r="G330" s="75"/>
      <c r="H330" s="106"/>
      <c r="I330" s="106"/>
      <c r="J330" s="106"/>
      <c r="K330" s="103"/>
      <c r="L330" s="107"/>
      <c r="M330" s="12" t="b">
        <f t="shared" si="5"/>
        <v>0</v>
      </c>
    </row>
    <row r="331" spans="2:13" ht="22.5">
      <c r="B331" s="26">
        <v>319</v>
      </c>
      <c r="C331" s="77"/>
      <c r="D331" s="69"/>
      <c r="E331" s="84"/>
      <c r="F331" s="93"/>
      <c r="G331" s="75"/>
      <c r="H331" s="106"/>
      <c r="I331" s="106"/>
      <c r="J331" s="106"/>
      <c r="K331" s="103"/>
      <c r="L331" s="107"/>
      <c r="M331" s="12" t="b">
        <f t="shared" si="5"/>
        <v>0</v>
      </c>
    </row>
    <row r="332" spans="2:13" ht="22.5">
      <c r="B332" s="26">
        <v>320</v>
      </c>
      <c r="C332" s="77"/>
      <c r="D332" s="69"/>
      <c r="E332" s="84"/>
      <c r="F332" s="93"/>
      <c r="G332" s="75"/>
      <c r="H332" s="106"/>
      <c r="I332" s="106"/>
      <c r="J332" s="106"/>
      <c r="K332" s="103"/>
      <c r="L332" s="107"/>
      <c r="M332" s="12" t="b">
        <f t="shared" si="5"/>
        <v>0</v>
      </c>
    </row>
    <row r="333" spans="2:13" ht="22.5">
      <c r="B333" s="26">
        <v>321</v>
      </c>
      <c r="C333" s="77"/>
      <c r="D333" s="69"/>
      <c r="E333" s="84"/>
      <c r="F333" s="93"/>
      <c r="G333" s="75"/>
      <c r="H333" s="106"/>
      <c r="I333" s="106"/>
      <c r="J333" s="106"/>
      <c r="K333" s="103"/>
      <c r="L333" s="107"/>
      <c r="M333" s="12" t="b">
        <f t="shared" ref="M333:M396" si="6">IF(COUNTA(E333:G333)=0,FALSE,TRUE)</f>
        <v>0</v>
      </c>
    </row>
    <row r="334" spans="2:13" ht="22.5">
      <c r="B334" s="26">
        <v>322</v>
      </c>
      <c r="C334" s="77"/>
      <c r="D334" s="69"/>
      <c r="E334" s="84"/>
      <c r="F334" s="93"/>
      <c r="G334" s="75"/>
      <c r="H334" s="106"/>
      <c r="I334" s="106"/>
      <c r="J334" s="106"/>
      <c r="K334" s="103"/>
      <c r="L334" s="107"/>
      <c r="M334" s="12" t="b">
        <f t="shared" si="6"/>
        <v>0</v>
      </c>
    </row>
    <row r="335" spans="2:13" ht="22.5">
      <c r="B335" s="26">
        <v>323</v>
      </c>
      <c r="C335" s="77"/>
      <c r="D335" s="69"/>
      <c r="E335" s="84"/>
      <c r="F335" s="93"/>
      <c r="G335" s="75"/>
      <c r="H335" s="106"/>
      <c r="I335" s="106"/>
      <c r="J335" s="106"/>
      <c r="K335" s="103"/>
      <c r="L335" s="107"/>
      <c r="M335" s="12" t="b">
        <f t="shared" si="6"/>
        <v>0</v>
      </c>
    </row>
    <row r="336" spans="2:13" ht="22.5">
      <c r="B336" s="26">
        <v>324</v>
      </c>
      <c r="C336" s="77"/>
      <c r="D336" s="69"/>
      <c r="E336" s="84"/>
      <c r="F336" s="93"/>
      <c r="G336" s="75"/>
      <c r="H336" s="106"/>
      <c r="I336" s="106"/>
      <c r="J336" s="106"/>
      <c r="K336" s="103"/>
      <c r="L336" s="107"/>
      <c r="M336" s="12" t="b">
        <f t="shared" si="6"/>
        <v>0</v>
      </c>
    </row>
    <row r="337" spans="2:13" ht="22.5">
      <c r="B337" s="26">
        <v>325</v>
      </c>
      <c r="C337" s="77"/>
      <c r="D337" s="69"/>
      <c r="E337" s="84"/>
      <c r="F337" s="93"/>
      <c r="G337" s="75"/>
      <c r="H337" s="106"/>
      <c r="I337" s="106"/>
      <c r="J337" s="106"/>
      <c r="K337" s="103"/>
      <c r="L337" s="107"/>
      <c r="M337" s="12" t="b">
        <f t="shared" si="6"/>
        <v>0</v>
      </c>
    </row>
    <row r="338" spans="2:13" ht="22.5">
      <c r="B338" s="26">
        <v>326</v>
      </c>
      <c r="C338" s="77"/>
      <c r="D338" s="69"/>
      <c r="E338" s="84"/>
      <c r="F338" s="93"/>
      <c r="G338" s="75"/>
      <c r="H338" s="106"/>
      <c r="I338" s="106"/>
      <c r="J338" s="106"/>
      <c r="K338" s="103"/>
      <c r="L338" s="107"/>
      <c r="M338" s="12" t="b">
        <f t="shared" si="6"/>
        <v>0</v>
      </c>
    </row>
    <row r="339" spans="2:13" ht="22.5">
      <c r="B339" s="26">
        <v>327</v>
      </c>
      <c r="C339" s="77"/>
      <c r="D339" s="69"/>
      <c r="E339" s="84"/>
      <c r="F339" s="93"/>
      <c r="G339" s="75"/>
      <c r="H339" s="106"/>
      <c r="I339" s="106"/>
      <c r="J339" s="106"/>
      <c r="K339" s="103"/>
      <c r="L339" s="107"/>
      <c r="M339" s="12" t="b">
        <f t="shared" si="6"/>
        <v>0</v>
      </c>
    </row>
    <row r="340" spans="2:13" ht="22.5">
      <c r="B340" s="26">
        <v>328</v>
      </c>
      <c r="C340" s="77"/>
      <c r="D340" s="69"/>
      <c r="E340" s="84"/>
      <c r="F340" s="93"/>
      <c r="G340" s="75"/>
      <c r="H340" s="106"/>
      <c r="I340" s="106"/>
      <c r="J340" s="106"/>
      <c r="K340" s="103"/>
      <c r="L340" s="107"/>
      <c r="M340" s="12" t="b">
        <f t="shared" si="6"/>
        <v>0</v>
      </c>
    </row>
    <row r="341" spans="2:13" ht="22.5">
      <c r="B341" s="26">
        <v>329</v>
      </c>
      <c r="C341" s="77"/>
      <c r="D341" s="69"/>
      <c r="E341" s="84"/>
      <c r="F341" s="93"/>
      <c r="G341" s="75"/>
      <c r="H341" s="106"/>
      <c r="I341" s="106"/>
      <c r="J341" s="106"/>
      <c r="K341" s="103"/>
      <c r="L341" s="107"/>
      <c r="M341" s="12" t="b">
        <f t="shared" si="6"/>
        <v>0</v>
      </c>
    </row>
    <row r="342" spans="2:13" ht="22.5">
      <c r="B342" s="26">
        <v>330</v>
      </c>
      <c r="C342" s="77"/>
      <c r="D342" s="69"/>
      <c r="E342" s="84"/>
      <c r="F342" s="93"/>
      <c r="G342" s="75"/>
      <c r="H342" s="106"/>
      <c r="I342" s="106"/>
      <c r="J342" s="106"/>
      <c r="K342" s="103"/>
      <c r="L342" s="107"/>
      <c r="M342" s="12" t="b">
        <f t="shared" si="6"/>
        <v>0</v>
      </c>
    </row>
    <row r="343" spans="2:13" ht="22.5">
      <c r="B343" s="26">
        <v>331</v>
      </c>
      <c r="C343" s="77"/>
      <c r="D343" s="69"/>
      <c r="E343" s="84"/>
      <c r="F343" s="93"/>
      <c r="G343" s="75"/>
      <c r="H343" s="106"/>
      <c r="I343" s="106"/>
      <c r="J343" s="106"/>
      <c r="K343" s="103"/>
      <c r="L343" s="107"/>
      <c r="M343" s="12" t="b">
        <f t="shared" si="6"/>
        <v>0</v>
      </c>
    </row>
    <row r="344" spans="2:13" ht="22.5">
      <c r="B344" s="26">
        <v>332</v>
      </c>
      <c r="C344" s="77"/>
      <c r="D344" s="69"/>
      <c r="E344" s="84"/>
      <c r="F344" s="93"/>
      <c r="G344" s="75"/>
      <c r="H344" s="106"/>
      <c r="I344" s="106"/>
      <c r="J344" s="106"/>
      <c r="K344" s="103"/>
      <c r="L344" s="107"/>
      <c r="M344" s="12" t="b">
        <f t="shared" si="6"/>
        <v>0</v>
      </c>
    </row>
    <row r="345" spans="2:13" ht="22.5">
      <c r="B345" s="26">
        <v>333</v>
      </c>
      <c r="C345" s="77"/>
      <c r="D345" s="69"/>
      <c r="E345" s="84"/>
      <c r="F345" s="93"/>
      <c r="G345" s="75"/>
      <c r="H345" s="106"/>
      <c r="I345" s="106"/>
      <c r="J345" s="106"/>
      <c r="K345" s="103"/>
      <c r="L345" s="107"/>
      <c r="M345" s="12" t="b">
        <f t="shared" si="6"/>
        <v>0</v>
      </c>
    </row>
    <row r="346" spans="2:13" ht="22.5">
      <c r="B346" s="26">
        <v>334</v>
      </c>
      <c r="C346" s="77"/>
      <c r="D346" s="69"/>
      <c r="E346" s="84"/>
      <c r="F346" s="93"/>
      <c r="G346" s="75"/>
      <c r="H346" s="106"/>
      <c r="I346" s="106"/>
      <c r="J346" s="106"/>
      <c r="K346" s="103"/>
      <c r="L346" s="107"/>
      <c r="M346" s="12" t="b">
        <f t="shared" si="6"/>
        <v>0</v>
      </c>
    </row>
    <row r="347" spans="2:13" ht="22.5">
      <c r="B347" s="26">
        <v>335</v>
      </c>
      <c r="C347" s="77"/>
      <c r="D347" s="69"/>
      <c r="E347" s="84"/>
      <c r="F347" s="93"/>
      <c r="G347" s="75"/>
      <c r="H347" s="106"/>
      <c r="I347" s="106"/>
      <c r="J347" s="106"/>
      <c r="K347" s="103"/>
      <c r="L347" s="107"/>
      <c r="M347" s="12" t="b">
        <f t="shared" si="6"/>
        <v>0</v>
      </c>
    </row>
    <row r="348" spans="2:13" ht="22.5">
      <c r="B348" s="26">
        <v>336</v>
      </c>
      <c r="C348" s="77"/>
      <c r="D348" s="69"/>
      <c r="E348" s="84"/>
      <c r="F348" s="93"/>
      <c r="G348" s="75"/>
      <c r="H348" s="106"/>
      <c r="I348" s="106"/>
      <c r="J348" s="106"/>
      <c r="K348" s="103"/>
      <c r="L348" s="107"/>
      <c r="M348" s="12" t="b">
        <f t="shared" si="6"/>
        <v>0</v>
      </c>
    </row>
    <row r="349" spans="2:13" ht="22.5">
      <c r="B349" s="26">
        <v>337</v>
      </c>
      <c r="C349" s="77"/>
      <c r="D349" s="69"/>
      <c r="E349" s="84"/>
      <c r="F349" s="93"/>
      <c r="G349" s="75"/>
      <c r="H349" s="106"/>
      <c r="I349" s="106"/>
      <c r="J349" s="106"/>
      <c r="K349" s="103"/>
      <c r="L349" s="107"/>
      <c r="M349" s="12" t="b">
        <f t="shared" si="6"/>
        <v>0</v>
      </c>
    </row>
    <row r="350" spans="2:13" ht="22.5">
      <c r="B350" s="26">
        <v>338</v>
      </c>
      <c r="C350" s="77"/>
      <c r="D350" s="69"/>
      <c r="E350" s="84"/>
      <c r="F350" s="93"/>
      <c r="G350" s="75"/>
      <c r="H350" s="106"/>
      <c r="I350" s="106"/>
      <c r="J350" s="106"/>
      <c r="K350" s="103"/>
      <c r="L350" s="107"/>
      <c r="M350" s="12" t="b">
        <f t="shared" si="6"/>
        <v>0</v>
      </c>
    </row>
    <row r="351" spans="2:13" ht="22.5">
      <c r="B351" s="26">
        <v>339</v>
      </c>
      <c r="C351" s="77"/>
      <c r="D351" s="69"/>
      <c r="E351" s="84"/>
      <c r="F351" s="93"/>
      <c r="G351" s="75"/>
      <c r="H351" s="106"/>
      <c r="I351" s="106"/>
      <c r="J351" s="106"/>
      <c r="K351" s="103"/>
      <c r="L351" s="107"/>
      <c r="M351" s="12" t="b">
        <f t="shared" si="6"/>
        <v>0</v>
      </c>
    </row>
    <row r="352" spans="2:13" ht="22.5">
      <c r="B352" s="26">
        <v>340</v>
      </c>
      <c r="C352" s="77"/>
      <c r="D352" s="69"/>
      <c r="E352" s="84"/>
      <c r="F352" s="93"/>
      <c r="G352" s="75"/>
      <c r="H352" s="106"/>
      <c r="I352" s="106"/>
      <c r="J352" s="106"/>
      <c r="K352" s="103"/>
      <c r="L352" s="107"/>
      <c r="M352" s="12" t="b">
        <f t="shared" si="6"/>
        <v>0</v>
      </c>
    </row>
    <row r="353" spans="2:13" ht="22.5">
      <c r="B353" s="26">
        <v>341</v>
      </c>
      <c r="C353" s="77"/>
      <c r="D353" s="69"/>
      <c r="E353" s="84"/>
      <c r="F353" s="93"/>
      <c r="G353" s="75"/>
      <c r="H353" s="106"/>
      <c r="I353" s="106"/>
      <c r="J353" s="106"/>
      <c r="K353" s="103"/>
      <c r="L353" s="107"/>
      <c r="M353" s="12" t="b">
        <f t="shared" si="6"/>
        <v>0</v>
      </c>
    </row>
    <row r="354" spans="2:13" ht="22.5">
      <c r="B354" s="26">
        <v>342</v>
      </c>
      <c r="C354" s="77"/>
      <c r="D354" s="69"/>
      <c r="E354" s="84"/>
      <c r="F354" s="93"/>
      <c r="G354" s="75"/>
      <c r="H354" s="106"/>
      <c r="I354" s="106"/>
      <c r="J354" s="106"/>
      <c r="K354" s="103"/>
      <c r="L354" s="107"/>
      <c r="M354" s="12" t="b">
        <f t="shared" si="6"/>
        <v>0</v>
      </c>
    </row>
    <row r="355" spans="2:13" ht="22.5">
      <c r="B355" s="26">
        <v>343</v>
      </c>
      <c r="C355" s="77"/>
      <c r="D355" s="69"/>
      <c r="E355" s="84"/>
      <c r="F355" s="93"/>
      <c r="G355" s="75"/>
      <c r="H355" s="106"/>
      <c r="I355" s="106"/>
      <c r="J355" s="106"/>
      <c r="K355" s="103"/>
      <c r="L355" s="107"/>
      <c r="M355" s="12" t="b">
        <f t="shared" si="6"/>
        <v>0</v>
      </c>
    </row>
    <row r="356" spans="2:13" ht="22.5">
      <c r="B356" s="26">
        <v>344</v>
      </c>
      <c r="C356" s="77"/>
      <c r="D356" s="69"/>
      <c r="E356" s="84"/>
      <c r="F356" s="93"/>
      <c r="G356" s="75"/>
      <c r="H356" s="106"/>
      <c r="I356" s="106"/>
      <c r="J356" s="106"/>
      <c r="K356" s="103"/>
      <c r="L356" s="107"/>
      <c r="M356" s="12" t="b">
        <f t="shared" si="6"/>
        <v>0</v>
      </c>
    </row>
    <row r="357" spans="2:13" ht="22.5">
      <c r="B357" s="26">
        <v>345</v>
      </c>
      <c r="C357" s="77"/>
      <c r="D357" s="69"/>
      <c r="E357" s="84"/>
      <c r="F357" s="93"/>
      <c r="G357" s="75"/>
      <c r="H357" s="106"/>
      <c r="I357" s="106"/>
      <c r="J357" s="106"/>
      <c r="K357" s="103"/>
      <c r="L357" s="107"/>
      <c r="M357" s="12" t="b">
        <f t="shared" si="6"/>
        <v>0</v>
      </c>
    </row>
    <row r="358" spans="2:13" ht="22.5">
      <c r="B358" s="26">
        <v>346</v>
      </c>
      <c r="C358" s="77"/>
      <c r="D358" s="69"/>
      <c r="E358" s="84"/>
      <c r="F358" s="93"/>
      <c r="G358" s="75"/>
      <c r="H358" s="106"/>
      <c r="I358" s="106"/>
      <c r="J358" s="106"/>
      <c r="K358" s="103"/>
      <c r="L358" s="107"/>
      <c r="M358" s="12" t="b">
        <f t="shared" si="6"/>
        <v>0</v>
      </c>
    </row>
    <row r="359" spans="2:13" ht="22.5">
      <c r="B359" s="26">
        <v>347</v>
      </c>
      <c r="C359" s="77"/>
      <c r="D359" s="69"/>
      <c r="E359" s="84"/>
      <c r="F359" s="93"/>
      <c r="G359" s="75"/>
      <c r="H359" s="106"/>
      <c r="I359" s="106"/>
      <c r="J359" s="106"/>
      <c r="K359" s="103"/>
      <c r="L359" s="107"/>
      <c r="M359" s="12" t="b">
        <f t="shared" si="6"/>
        <v>0</v>
      </c>
    </row>
    <row r="360" spans="2:13" ht="22.5">
      <c r="B360" s="26">
        <v>348</v>
      </c>
      <c r="C360" s="77"/>
      <c r="D360" s="69"/>
      <c r="E360" s="84"/>
      <c r="F360" s="93"/>
      <c r="G360" s="75"/>
      <c r="H360" s="106"/>
      <c r="I360" s="106"/>
      <c r="J360" s="106"/>
      <c r="K360" s="103"/>
      <c r="L360" s="107"/>
      <c r="M360" s="12" t="b">
        <f t="shared" si="6"/>
        <v>0</v>
      </c>
    </row>
    <row r="361" spans="2:13" ht="22.5">
      <c r="B361" s="26">
        <v>349</v>
      </c>
      <c r="C361" s="77"/>
      <c r="D361" s="69"/>
      <c r="E361" s="84"/>
      <c r="F361" s="93"/>
      <c r="G361" s="75"/>
      <c r="H361" s="106"/>
      <c r="I361" s="106"/>
      <c r="J361" s="106"/>
      <c r="K361" s="103"/>
      <c r="L361" s="107"/>
      <c r="M361" s="12" t="b">
        <f t="shared" si="6"/>
        <v>0</v>
      </c>
    </row>
    <row r="362" spans="2:13" ht="22.5">
      <c r="B362" s="26">
        <v>350</v>
      </c>
      <c r="C362" s="77"/>
      <c r="D362" s="69"/>
      <c r="E362" s="84"/>
      <c r="F362" s="93"/>
      <c r="G362" s="75"/>
      <c r="H362" s="106"/>
      <c r="I362" s="106"/>
      <c r="J362" s="106"/>
      <c r="K362" s="103"/>
      <c r="L362" s="107"/>
      <c r="M362" s="12" t="b">
        <f t="shared" si="6"/>
        <v>0</v>
      </c>
    </row>
    <row r="363" spans="2:13" ht="22.5">
      <c r="B363" s="26">
        <v>351</v>
      </c>
      <c r="C363" s="77"/>
      <c r="D363" s="69"/>
      <c r="E363" s="84"/>
      <c r="F363" s="93"/>
      <c r="G363" s="75"/>
      <c r="H363" s="106"/>
      <c r="I363" s="106"/>
      <c r="J363" s="106"/>
      <c r="K363" s="103"/>
      <c r="L363" s="107"/>
      <c r="M363" s="12" t="b">
        <f t="shared" si="6"/>
        <v>0</v>
      </c>
    </row>
    <row r="364" spans="2:13" ht="22.5">
      <c r="B364" s="26">
        <v>352</v>
      </c>
      <c r="C364" s="77"/>
      <c r="D364" s="69"/>
      <c r="E364" s="84"/>
      <c r="F364" s="93"/>
      <c r="G364" s="75"/>
      <c r="H364" s="106"/>
      <c r="I364" s="106"/>
      <c r="J364" s="106"/>
      <c r="K364" s="103"/>
      <c r="L364" s="107"/>
      <c r="M364" s="12" t="b">
        <f t="shared" si="6"/>
        <v>0</v>
      </c>
    </row>
    <row r="365" spans="2:13" ht="22.5">
      <c r="B365" s="26">
        <v>353</v>
      </c>
      <c r="C365" s="77"/>
      <c r="D365" s="69"/>
      <c r="E365" s="84"/>
      <c r="F365" s="93"/>
      <c r="G365" s="75"/>
      <c r="H365" s="106"/>
      <c r="I365" s="106"/>
      <c r="J365" s="106"/>
      <c r="K365" s="103"/>
      <c r="L365" s="107"/>
      <c r="M365" s="12" t="b">
        <f t="shared" si="6"/>
        <v>0</v>
      </c>
    </row>
    <row r="366" spans="2:13" ht="22.5">
      <c r="B366" s="26">
        <v>354</v>
      </c>
      <c r="C366" s="77"/>
      <c r="D366" s="69"/>
      <c r="E366" s="84"/>
      <c r="F366" s="93"/>
      <c r="G366" s="75"/>
      <c r="H366" s="106"/>
      <c r="I366" s="106"/>
      <c r="J366" s="106"/>
      <c r="K366" s="103"/>
      <c r="L366" s="107"/>
      <c r="M366" s="12" t="b">
        <f t="shared" si="6"/>
        <v>0</v>
      </c>
    </row>
    <row r="367" spans="2:13" ht="22.5">
      <c r="B367" s="26">
        <v>355</v>
      </c>
      <c r="C367" s="77"/>
      <c r="D367" s="69"/>
      <c r="E367" s="84"/>
      <c r="F367" s="93"/>
      <c r="G367" s="75"/>
      <c r="H367" s="106"/>
      <c r="I367" s="106"/>
      <c r="J367" s="106"/>
      <c r="K367" s="103"/>
      <c r="L367" s="107"/>
      <c r="M367" s="12" t="b">
        <f t="shared" si="6"/>
        <v>0</v>
      </c>
    </row>
    <row r="368" spans="2:13" ht="22.5">
      <c r="B368" s="26">
        <v>356</v>
      </c>
      <c r="C368" s="77"/>
      <c r="D368" s="69"/>
      <c r="E368" s="84"/>
      <c r="F368" s="93"/>
      <c r="G368" s="75"/>
      <c r="H368" s="106"/>
      <c r="I368" s="106"/>
      <c r="J368" s="106"/>
      <c r="K368" s="103"/>
      <c r="L368" s="107"/>
      <c r="M368" s="12" t="b">
        <f t="shared" si="6"/>
        <v>0</v>
      </c>
    </row>
    <row r="369" spans="2:13" ht="22.5">
      <c r="B369" s="26">
        <v>357</v>
      </c>
      <c r="C369" s="77"/>
      <c r="D369" s="69"/>
      <c r="E369" s="84"/>
      <c r="F369" s="93"/>
      <c r="G369" s="75"/>
      <c r="H369" s="106"/>
      <c r="I369" s="106"/>
      <c r="J369" s="106"/>
      <c r="K369" s="103"/>
      <c r="L369" s="107"/>
      <c r="M369" s="12" t="b">
        <f t="shared" si="6"/>
        <v>0</v>
      </c>
    </row>
    <row r="370" spans="2:13" ht="22.5">
      <c r="B370" s="26">
        <v>358</v>
      </c>
      <c r="C370" s="77"/>
      <c r="D370" s="69"/>
      <c r="E370" s="84"/>
      <c r="F370" s="93"/>
      <c r="G370" s="75"/>
      <c r="H370" s="106"/>
      <c r="I370" s="106"/>
      <c r="J370" s="106"/>
      <c r="K370" s="103"/>
      <c r="L370" s="107"/>
      <c r="M370" s="12" t="b">
        <f t="shared" si="6"/>
        <v>0</v>
      </c>
    </row>
    <row r="371" spans="2:13" ht="22.5">
      <c r="B371" s="26">
        <v>359</v>
      </c>
      <c r="C371" s="77"/>
      <c r="D371" s="69"/>
      <c r="E371" s="84"/>
      <c r="F371" s="93"/>
      <c r="G371" s="75"/>
      <c r="H371" s="106"/>
      <c r="I371" s="106"/>
      <c r="J371" s="106"/>
      <c r="K371" s="103"/>
      <c r="L371" s="107"/>
      <c r="M371" s="12" t="b">
        <f t="shared" si="6"/>
        <v>0</v>
      </c>
    </row>
    <row r="372" spans="2:13" ht="22.5">
      <c r="B372" s="26">
        <v>360</v>
      </c>
      <c r="C372" s="77"/>
      <c r="D372" s="69"/>
      <c r="E372" s="84"/>
      <c r="F372" s="93"/>
      <c r="G372" s="75"/>
      <c r="H372" s="106"/>
      <c r="I372" s="106"/>
      <c r="J372" s="106"/>
      <c r="K372" s="103"/>
      <c r="L372" s="107"/>
      <c r="M372" s="12" t="b">
        <f t="shared" si="6"/>
        <v>0</v>
      </c>
    </row>
    <row r="373" spans="2:13" ht="22.5">
      <c r="B373" s="26">
        <v>361</v>
      </c>
      <c r="C373" s="77"/>
      <c r="D373" s="69"/>
      <c r="E373" s="84"/>
      <c r="F373" s="93"/>
      <c r="G373" s="75"/>
      <c r="H373" s="106"/>
      <c r="I373" s="106"/>
      <c r="J373" s="106"/>
      <c r="K373" s="103"/>
      <c r="L373" s="107"/>
      <c r="M373" s="12" t="b">
        <f t="shared" si="6"/>
        <v>0</v>
      </c>
    </row>
    <row r="374" spans="2:13" ht="22.5">
      <c r="B374" s="26">
        <v>362</v>
      </c>
      <c r="C374" s="77"/>
      <c r="D374" s="69"/>
      <c r="E374" s="84"/>
      <c r="F374" s="93"/>
      <c r="G374" s="75"/>
      <c r="H374" s="106"/>
      <c r="I374" s="106"/>
      <c r="J374" s="106"/>
      <c r="K374" s="103"/>
      <c r="L374" s="107"/>
      <c r="M374" s="12" t="b">
        <f t="shared" si="6"/>
        <v>0</v>
      </c>
    </row>
    <row r="375" spans="2:13" ht="22.5">
      <c r="B375" s="26">
        <v>363</v>
      </c>
      <c r="C375" s="77"/>
      <c r="D375" s="69"/>
      <c r="E375" s="84"/>
      <c r="F375" s="93"/>
      <c r="G375" s="75"/>
      <c r="H375" s="106"/>
      <c r="I375" s="106"/>
      <c r="J375" s="106"/>
      <c r="K375" s="103"/>
      <c r="L375" s="107"/>
      <c r="M375" s="12" t="b">
        <f t="shared" si="6"/>
        <v>0</v>
      </c>
    </row>
    <row r="376" spans="2:13" ht="22.5">
      <c r="B376" s="26">
        <v>364</v>
      </c>
      <c r="C376" s="77"/>
      <c r="D376" s="69"/>
      <c r="E376" s="84"/>
      <c r="F376" s="93"/>
      <c r="G376" s="75"/>
      <c r="H376" s="106"/>
      <c r="I376" s="106"/>
      <c r="J376" s="106"/>
      <c r="K376" s="103"/>
      <c r="L376" s="107"/>
      <c r="M376" s="12" t="b">
        <f t="shared" si="6"/>
        <v>0</v>
      </c>
    </row>
    <row r="377" spans="2:13" ht="22.5">
      <c r="B377" s="26">
        <v>365</v>
      </c>
      <c r="C377" s="77"/>
      <c r="D377" s="69"/>
      <c r="E377" s="84"/>
      <c r="F377" s="93"/>
      <c r="G377" s="75"/>
      <c r="H377" s="106"/>
      <c r="I377" s="106"/>
      <c r="J377" s="106"/>
      <c r="K377" s="103"/>
      <c r="L377" s="107"/>
      <c r="M377" s="12" t="b">
        <f t="shared" si="6"/>
        <v>0</v>
      </c>
    </row>
    <row r="378" spans="2:13" ht="22.5">
      <c r="B378" s="26">
        <v>366</v>
      </c>
      <c r="C378" s="77"/>
      <c r="D378" s="69"/>
      <c r="E378" s="84"/>
      <c r="F378" s="93"/>
      <c r="G378" s="75"/>
      <c r="H378" s="106"/>
      <c r="I378" s="106"/>
      <c r="J378" s="106"/>
      <c r="K378" s="103"/>
      <c r="L378" s="107"/>
      <c r="M378" s="12" t="b">
        <f t="shared" si="6"/>
        <v>0</v>
      </c>
    </row>
    <row r="379" spans="2:13" ht="22.5">
      <c r="B379" s="26">
        <v>367</v>
      </c>
      <c r="C379" s="77"/>
      <c r="D379" s="69"/>
      <c r="E379" s="84"/>
      <c r="F379" s="93"/>
      <c r="G379" s="75"/>
      <c r="H379" s="106"/>
      <c r="I379" s="106"/>
      <c r="J379" s="106"/>
      <c r="K379" s="103"/>
      <c r="L379" s="107"/>
      <c r="M379" s="12" t="b">
        <f t="shared" si="6"/>
        <v>0</v>
      </c>
    </row>
    <row r="380" spans="2:13" ht="22.5">
      <c r="B380" s="26">
        <v>368</v>
      </c>
      <c r="C380" s="77"/>
      <c r="D380" s="69"/>
      <c r="E380" s="84"/>
      <c r="F380" s="93"/>
      <c r="G380" s="75"/>
      <c r="H380" s="106"/>
      <c r="I380" s="106"/>
      <c r="J380" s="106"/>
      <c r="K380" s="103"/>
      <c r="L380" s="107"/>
      <c r="M380" s="12" t="b">
        <f t="shared" si="6"/>
        <v>0</v>
      </c>
    </row>
    <row r="381" spans="2:13" ht="22.5">
      <c r="B381" s="26">
        <v>369</v>
      </c>
      <c r="C381" s="77"/>
      <c r="D381" s="69"/>
      <c r="E381" s="84"/>
      <c r="F381" s="93"/>
      <c r="G381" s="75"/>
      <c r="H381" s="106"/>
      <c r="I381" s="106"/>
      <c r="J381" s="106"/>
      <c r="K381" s="103"/>
      <c r="L381" s="107"/>
      <c r="M381" s="12" t="b">
        <f t="shared" si="6"/>
        <v>0</v>
      </c>
    </row>
    <row r="382" spans="2:13" ht="22.5">
      <c r="B382" s="26">
        <v>370</v>
      </c>
      <c r="C382" s="77"/>
      <c r="D382" s="69"/>
      <c r="E382" s="84"/>
      <c r="F382" s="93"/>
      <c r="G382" s="75"/>
      <c r="H382" s="106"/>
      <c r="I382" s="106"/>
      <c r="J382" s="106"/>
      <c r="K382" s="103"/>
      <c r="L382" s="107"/>
      <c r="M382" s="12" t="b">
        <f t="shared" si="6"/>
        <v>0</v>
      </c>
    </row>
    <row r="383" spans="2:13" ht="22.5">
      <c r="B383" s="26">
        <v>371</v>
      </c>
      <c r="C383" s="77"/>
      <c r="D383" s="69"/>
      <c r="E383" s="84"/>
      <c r="F383" s="93"/>
      <c r="G383" s="75"/>
      <c r="H383" s="106"/>
      <c r="I383" s="106"/>
      <c r="J383" s="106"/>
      <c r="K383" s="103"/>
      <c r="L383" s="107"/>
      <c r="M383" s="12" t="b">
        <f t="shared" si="6"/>
        <v>0</v>
      </c>
    </row>
    <row r="384" spans="2:13" ht="22.5">
      <c r="B384" s="26">
        <v>372</v>
      </c>
      <c r="C384" s="77"/>
      <c r="D384" s="69"/>
      <c r="E384" s="84"/>
      <c r="F384" s="93"/>
      <c r="G384" s="75"/>
      <c r="H384" s="106"/>
      <c r="I384" s="106"/>
      <c r="J384" s="106"/>
      <c r="K384" s="103"/>
      <c r="L384" s="107"/>
      <c r="M384" s="12" t="b">
        <f t="shared" si="6"/>
        <v>0</v>
      </c>
    </row>
    <row r="385" spans="2:13" ht="22.5">
      <c r="B385" s="26">
        <v>373</v>
      </c>
      <c r="C385" s="77"/>
      <c r="D385" s="69"/>
      <c r="E385" s="84"/>
      <c r="F385" s="93"/>
      <c r="G385" s="75"/>
      <c r="H385" s="106"/>
      <c r="I385" s="106"/>
      <c r="J385" s="106"/>
      <c r="K385" s="103"/>
      <c r="L385" s="107"/>
      <c r="M385" s="12" t="b">
        <f t="shared" si="6"/>
        <v>0</v>
      </c>
    </row>
    <row r="386" spans="2:13" ht="22.5">
      <c r="B386" s="26">
        <v>374</v>
      </c>
      <c r="C386" s="77"/>
      <c r="D386" s="69"/>
      <c r="E386" s="84"/>
      <c r="F386" s="93"/>
      <c r="G386" s="75"/>
      <c r="H386" s="106"/>
      <c r="I386" s="106"/>
      <c r="J386" s="106"/>
      <c r="K386" s="103"/>
      <c r="L386" s="107"/>
      <c r="M386" s="12" t="b">
        <f t="shared" si="6"/>
        <v>0</v>
      </c>
    </row>
    <row r="387" spans="2:13" ht="22.5">
      <c r="B387" s="26">
        <v>375</v>
      </c>
      <c r="C387" s="77"/>
      <c r="D387" s="69"/>
      <c r="E387" s="84"/>
      <c r="F387" s="93"/>
      <c r="G387" s="75"/>
      <c r="H387" s="106"/>
      <c r="I387" s="106"/>
      <c r="J387" s="106"/>
      <c r="K387" s="103"/>
      <c r="L387" s="107"/>
      <c r="M387" s="12" t="b">
        <f t="shared" si="6"/>
        <v>0</v>
      </c>
    </row>
    <row r="388" spans="2:13" ht="22.5">
      <c r="B388" s="26">
        <v>376</v>
      </c>
      <c r="C388" s="77"/>
      <c r="D388" s="69"/>
      <c r="E388" s="84"/>
      <c r="F388" s="93"/>
      <c r="G388" s="75"/>
      <c r="H388" s="106"/>
      <c r="I388" s="106"/>
      <c r="J388" s="106"/>
      <c r="K388" s="103"/>
      <c r="L388" s="107"/>
      <c r="M388" s="12" t="b">
        <f t="shared" si="6"/>
        <v>0</v>
      </c>
    </row>
    <row r="389" spans="2:13" ht="22.5">
      <c r="B389" s="26">
        <v>377</v>
      </c>
      <c r="C389" s="77"/>
      <c r="D389" s="69"/>
      <c r="E389" s="84"/>
      <c r="F389" s="93"/>
      <c r="G389" s="75"/>
      <c r="H389" s="106"/>
      <c r="I389" s="106"/>
      <c r="J389" s="106"/>
      <c r="K389" s="103"/>
      <c r="L389" s="107"/>
      <c r="M389" s="12" t="b">
        <f t="shared" si="6"/>
        <v>0</v>
      </c>
    </row>
    <row r="390" spans="2:13" ht="22.5">
      <c r="B390" s="26">
        <v>378</v>
      </c>
      <c r="C390" s="77"/>
      <c r="D390" s="69"/>
      <c r="E390" s="84"/>
      <c r="F390" s="93"/>
      <c r="G390" s="75"/>
      <c r="H390" s="106"/>
      <c r="I390" s="106"/>
      <c r="J390" s="106"/>
      <c r="K390" s="103"/>
      <c r="L390" s="107"/>
      <c r="M390" s="12" t="b">
        <f t="shared" si="6"/>
        <v>0</v>
      </c>
    </row>
    <row r="391" spans="2:13" ht="22.5">
      <c r="B391" s="26">
        <v>379</v>
      </c>
      <c r="C391" s="77"/>
      <c r="D391" s="69"/>
      <c r="E391" s="84"/>
      <c r="F391" s="93"/>
      <c r="G391" s="75"/>
      <c r="H391" s="106"/>
      <c r="I391" s="106"/>
      <c r="J391" s="106"/>
      <c r="K391" s="103"/>
      <c r="L391" s="107"/>
      <c r="M391" s="12" t="b">
        <f t="shared" si="6"/>
        <v>0</v>
      </c>
    </row>
    <row r="392" spans="2:13" ht="22.5">
      <c r="B392" s="26">
        <v>380</v>
      </c>
      <c r="C392" s="77"/>
      <c r="D392" s="69"/>
      <c r="E392" s="84"/>
      <c r="F392" s="93"/>
      <c r="G392" s="75"/>
      <c r="H392" s="106"/>
      <c r="I392" s="106"/>
      <c r="J392" s="106"/>
      <c r="K392" s="103"/>
      <c r="L392" s="107"/>
      <c r="M392" s="12" t="b">
        <f t="shared" si="6"/>
        <v>0</v>
      </c>
    </row>
    <row r="393" spans="2:13" ht="22.5">
      <c r="B393" s="26">
        <v>381</v>
      </c>
      <c r="C393" s="77"/>
      <c r="D393" s="69"/>
      <c r="E393" s="84"/>
      <c r="F393" s="93"/>
      <c r="G393" s="75"/>
      <c r="H393" s="106"/>
      <c r="I393" s="106"/>
      <c r="J393" s="106"/>
      <c r="K393" s="103"/>
      <c r="L393" s="107"/>
      <c r="M393" s="12" t="b">
        <f t="shared" si="6"/>
        <v>0</v>
      </c>
    </row>
    <row r="394" spans="2:13" ht="22.5">
      <c r="B394" s="26">
        <v>382</v>
      </c>
      <c r="C394" s="77"/>
      <c r="D394" s="69"/>
      <c r="E394" s="84"/>
      <c r="F394" s="93"/>
      <c r="G394" s="75"/>
      <c r="H394" s="106"/>
      <c r="I394" s="106"/>
      <c r="J394" s="106"/>
      <c r="K394" s="103"/>
      <c r="L394" s="107"/>
      <c r="M394" s="12" t="b">
        <f t="shared" si="6"/>
        <v>0</v>
      </c>
    </row>
    <row r="395" spans="2:13" ht="22.5">
      <c r="B395" s="26">
        <v>383</v>
      </c>
      <c r="C395" s="77"/>
      <c r="D395" s="69"/>
      <c r="E395" s="84"/>
      <c r="F395" s="93"/>
      <c r="G395" s="75"/>
      <c r="H395" s="106"/>
      <c r="I395" s="106"/>
      <c r="J395" s="106"/>
      <c r="K395" s="103"/>
      <c r="L395" s="107"/>
      <c r="M395" s="12" t="b">
        <f t="shared" si="6"/>
        <v>0</v>
      </c>
    </row>
    <row r="396" spans="2:13" ht="22.5">
      <c r="B396" s="26">
        <v>384</v>
      </c>
      <c r="C396" s="77"/>
      <c r="D396" s="69"/>
      <c r="E396" s="84"/>
      <c r="F396" s="93"/>
      <c r="G396" s="75"/>
      <c r="H396" s="106"/>
      <c r="I396" s="106"/>
      <c r="J396" s="106"/>
      <c r="K396" s="103"/>
      <c r="L396" s="107"/>
      <c r="M396" s="12" t="b">
        <f t="shared" si="6"/>
        <v>0</v>
      </c>
    </row>
    <row r="397" spans="2:13" ht="22.5">
      <c r="B397" s="26">
        <v>385</v>
      </c>
      <c r="C397" s="77"/>
      <c r="D397" s="69"/>
      <c r="E397" s="84"/>
      <c r="F397" s="93"/>
      <c r="G397" s="75"/>
      <c r="H397" s="106"/>
      <c r="I397" s="106"/>
      <c r="J397" s="106"/>
      <c r="K397" s="103"/>
      <c r="L397" s="107"/>
      <c r="M397" s="12" t="b">
        <f t="shared" ref="M397:M460" si="7">IF(COUNTA(E397:G397)=0,FALSE,TRUE)</f>
        <v>0</v>
      </c>
    </row>
    <row r="398" spans="2:13" ht="22.5">
      <c r="B398" s="26">
        <v>386</v>
      </c>
      <c r="C398" s="77"/>
      <c r="D398" s="69"/>
      <c r="E398" s="84"/>
      <c r="F398" s="93"/>
      <c r="G398" s="75"/>
      <c r="H398" s="106"/>
      <c r="I398" s="106"/>
      <c r="J398" s="106"/>
      <c r="K398" s="103"/>
      <c r="L398" s="107"/>
      <c r="M398" s="12" t="b">
        <f t="shared" si="7"/>
        <v>0</v>
      </c>
    </row>
    <row r="399" spans="2:13" ht="22.5">
      <c r="B399" s="26">
        <v>387</v>
      </c>
      <c r="C399" s="77"/>
      <c r="D399" s="69"/>
      <c r="E399" s="84"/>
      <c r="F399" s="93"/>
      <c r="G399" s="75"/>
      <c r="H399" s="106"/>
      <c r="I399" s="106"/>
      <c r="J399" s="106"/>
      <c r="K399" s="103"/>
      <c r="L399" s="107"/>
      <c r="M399" s="12" t="b">
        <f t="shared" si="7"/>
        <v>0</v>
      </c>
    </row>
    <row r="400" spans="2:13" ht="22.5">
      <c r="B400" s="26">
        <v>388</v>
      </c>
      <c r="C400" s="77"/>
      <c r="D400" s="69"/>
      <c r="E400" s="84"/>
      <c r="F400" s="93"/>
      <c r="G400" s="75"/>
      <c r="H400" s="106"/>
      <c r="I400" s="106"/>
      <c r="J400" s="106"/>
      <c r="K400" s="103"/>
      <c r="L400" s="107"/>
      <c r="M400" s="12" t="b">
        <f t="shared" si="7"/>
        <v>0</v>
      </c>
    </row>
    <row r="401" spans="2:13" ht="22.5">
      <c r="B401" s="26">
        <v>389</v>
      </c>
      <c r="C401" s="77"/>
      <c r="D401" s="69"/>
      <c r="E401" s="84"/>
      <c r="F401" s="93"/>
      <c r="G401" s="75"/>
      <c r="H401" s="106"/>
      <c r="I401" s="106"/>
      <c r="J401" s="106"/>
      <c r="K401" s="103"/>
      <c r="L401" s="107"/>
      <c r="M401" s="12" t="b">
        <f t="shared" si="7"/>
        <v>0</v>
      </c>
    </row>
    <row r="402" spans="2:13" ht="22.5">
      <c r="B402" s="26">
        <v>390</v>
      </c>
      <c r="C402" s="77"/>
      <c r="D402" s="69"/>
      <c r="E402" s="84"/>
      <c r="F402" s="93"/>
      <c r="G402" s="75"/>
      <c r="H402" s="106"/>
      <c r="I402" s="106"/>
      <c r="J402" s="106"/>
      <c r="K402" s="103"/>
      <c r="L402" s="107"/>
      <c r="M402" s="12" t="b">
        <f t="shared" si="7"/>
        <v>0</v>
      </c>
    </row>
    <row r="403" spans="2:13" ht="22.5">
      <c r="B403" s="26">
        <v>391</v>
      </c>
      <c r="C403" s="77"/>
      <c r="D403" s="69"/>
      <c r="E403" s="84"/>
      <c r="F403" s="93"/>
      <c r="G403" s="75"/>
      <c r="H403" s="106"/>
      <c r="I403" s="106"/>
      <c r="J403" s="106"/>
      <c r="K403" s="103"/>
      <c r="L403" s="107"/>
      <c r="M403" s="12" t="b">
        <f t="shared" si="7"/>
        <v>0</v>
      </c>
    </row>
    <row r="404" spans="2:13" ht="22.5">
      <c r="B404" s="26">
        <v>392</v>
      </c>
      <c r="C404" s="77"/>
      <c r="D404" s="69"/>
      <c r="E404" s="84"/>
      <c r="F404" s="93"/>
      <c r="G404" s="75"/>
      <c r="H404" s="106"/>
      <c r="I404" s="106"/>
      <c r="J404" s="106"/>
      <c r="K404" s="103"/>
      <c r="L404" s="107"/>
      <c r="M404" s="12" t="b">
        <f t="shared" si="7"/>
        <v>0</v>
      </c>
    </row>
    <row r="405" spans="2:13" ht="22.5">
      <c r="B405" s="26">
        <v>393</v>
      </c>
      <c r="C405" s="77"/>
      <c r="D405" s="69"/>
      <c r="E405" s="84"/>
      <c r="F405" s="93"/>
      <c r="G405" s="75"/>
      <c r="H405" s="106"/>
      <c r="I405" s="106"/>
      <c r="J405" s="106"/>
      <c r="K405" s="103"/>
      <c r="L405" s="107"/>
      <c r="M405" s="12" t="b">
        <f t="shared" si="7"/>
        <v>0</v>
      </c>
    </row>
    <row r="406" spans="2:13" ht="22.5">
      <c r="B406" s="26">
        <v>394</v>
      </c>
      <c r="C406" s="77"/>
      <c r="D406" s="69"/>
      <c r="E406" s="84"/>
      <c r="F406" s="93"/>
      <c r="G406" s="75"/>
      <c r="H406" s="106"/>
      <c r="I406" s="106"/>
      <c r="J406" s="106"/>
      <c r="K406" s="103"/>
      <c r="L406" s="107"/>
      <c r="M406" s="12" t="b">
        <f t="shared" si="7"/>
        <v>0</v>
      </c>
    </row>
    <row r="407" spans="2:13" ht="22.5">
      <c r="B407" s="26">
        <v>395</v>
      </c>
      <c r="C407" s="77"/>
      <c r="D407" s="69"/>
      <c r="E407" s="84"/>
      <c r="F407" s="93"/>
      <c r="G407" s="75"/>
      <c r="H407" s="106"/>
      <c r="I407" s="106"/>
      <c r="J407" s="106"/>
      <c r="K407" s="103"/>
      <c r="L407" s="107"/>
      <c r="M407" s="12" t="b">
        <f t="shared" si="7"/>
        <v>0</v>
      </c>
    </row>
    <row r="408" spans="2:13" ht="22.5">
      <c r="B408" s="26">
        <v>396</v>
      </c>
      <c r="C408" s="77"/>
      <c r="D408" s="69"/>
      <c r="E408" s="84"/>
      <c r="F408" s="93"/>
      <c r="G408" s="75"/>
      <c r="H408" s="106"/>
      <c r="I408" s="106"/>
      <c r="J408" s="106"/>
      <c r="K408" s="103"/>
      <c r="L408" s="107"/>
      <c r="M408" s="12" t="b">
        <f t="shared" si="7"/>
        <v>0</v>
      </c>
    </row>
    <row r="409" spans="2:13" ht="22.5">
      <c r="B409" s="26">
        <v>397</v>
      </c>
      <c r="C409" s="77"/>
      <c r="D409" s="69"/>
      <c r="E409" s="84"/>
      <c r="F409" s="93"/>
      <c r="G409" s="75"/>
      <c r="H409" s="106"/>
      <c r="I409" s="106"/>
      <c r="J409" s="106"/>
      <c r="K409" s="103"/>
      <c r="L409" s="107"/>
      <c r="M409" s="12" t="b">
        <f t="shared" si="7"/>
        <v>0</v>
      </c>
    </row>
    <row r="410" spans="2:13" ht="22.5">
      <c r="B410" s="26">
        <v>398</v>
      </c>
      <c r="C410" s="77"/>
      <c r="D410" s="69"/>
      <c r="E410" s="84"/>
      <c r="F410" s="93"/>
      <c r="G410" s="75"/>
      <c r="H410" s="106"/>
      <c r="I410" s="106"/>
      <c r="J410" s="106"/>
      <c r="K410" s="103"/>
      <c r="L410" s="107"/>
      <c r="M410" s="12" t="b">
        <f t="shared" si="7"/>
        <v>0</v>
      </c>
    </row>
    <row r="411" spans="2:13" ht="22.5">
      <c r="B411" s="26">
        <v>399</v>
      </c>
      <c r="C411" s="77"/>
      <c r="D411" s="69"/>
      <c r="E411" s="84"/>
      <c r="F411" s="93"/>
      <c r="G411" s="75"/>
      <c r="H411" s="106"/>
      <c r="I411" s="106"/>
      <c r="J411" s="106"/>
      <c r="K411" s="103"/>
      <c r="L411" s="107"/>
      <c r="M411" s="12" t="b">
        <f t="shared" si="7"/>
        <v>0</v>
      </c>
    </row>
    <row r="412" spans="2:13" ht="22.5">
      <c r="B412" s="26">
        <v>400</v>
      </c>
      <c r="C412" s="77"/>
      <c r="D412" s="69"/>
      <c r="E412" s="84"/>
      <c r="F412" s="93"/>
      <c r="G412" s="75"/>
      <c r="H412" s="106"/>
      <c r="I412" s="106"/>
      <c r="J412" s="106"/>
      <c r="K412" s="103"/>
      <c r="L412" s="107"/>
      <c r="M412" s="12" t="b">
        <f t="shared" si="7"/>
        <v>0</v>
      </c>
    </row>
    <row r="413" spans="2:13" ht="22.5">
      <c r="B413" s="26">
        <v>401</v>
      </c>
      <c r="C413" s="77"/>
      <c r="D413" s="69"/>
      <c r="E413" s="84"/>
      <c r="F413" s="93"/>
      <c r="G413" s="75"/>
      <c r="H413" s="106"/>
      <c r="I413" s="106"/>
      <c r="J413" s="106"/>
      <c r="K413" s="103"/>
      <c r="L413" s="107"/>
      <c r="M413" s="12" t="b">
        <f t="shared" si="7"/>
        <v>0</v>
      </c>
    </row>
    <row r="414" spans="2:13" ht="22.5">
      <c r="B414" s="26">
        <v>402</v>
      </c>
      <c r="C414" s="77"/>
      <c r="D414" s="69"/>
      <c r="E414" s="84"/>
      <c r="F414" s="93"/>
      <c r="G414" s="75"/>
      <c r="H414" s="106"/>
      <c r="I414" s="106"/>
      <c r="J414" s="106"/>
      <c r="K414" s="103"/>
      <c r="L414" s="107"/>
      <c r="M414" s="12" t="b">
        <f t="shared" si="7"/>
        <v>0</v>
      </c>
    </row>
    <row r="415" spans="2:13" ht="22.5">
      <c r="B415" s="26">
        <v>403</v>
      </c>
      <c r="C415" s="77"/>
      <c r="D415" s="69"/>
      <c r="E415" s="84"/>
      <c r="F415" s="93"/>
      <c r="G415" s="75"/>
      <c r="H415" s="106"/>
      <c r="I415" s="106"/>
      <c r="J415" s="106"/>
      <c r="K415" s="103"/>
      <c r="L415" s="107"/>
      <c r="M415" s="12" t="b">
        <f t="shared" si="7"/>
        <v>0</v>
      </c>
    </row>
    <row r="416" spans="2:13" ht="22.5">
      <c r="B416" s="26">
        <v>404</v>
      </c>
      <c r="C416" s="77"/>
      <c r="D416" s="69"/>
      <c r="E416" s="84"/>
      <c r="F416" s="93"/>
      <c r="G416" s="75"/>
      <c r="H416" s="106"/>
      <c r="I416" s="106"/>
      <c r="J416" s="106"/>
      <c r="K416" s="103"/>
      <c r="L416" s="107"/>
      <c r="M416" s="12" t="b">
        <f t="shared" si="7"/>
        <v>0</v>
      </c>
    </row>
    <row r="417" spans="2:13" ht="22.5">
      <c r="B417" s="26">
        <v>405</v>
      </c>
      <c r="C417" s="77"/>
      <c r="D417" s="69"/>
      <c r="E417" s="84"/>
      <c r="F417" s="93"/>
      <c r="G417" s="75"/>
      <c r="H417" s="106"/>
      <c r="I417" s="106"/>
      <c r="J417" s="106"/>
      <c r="K417" s="103"/>
      <c r="L417" s="107"/>
      <c r="M417" s="12" t="b">
        <f t="shared" si="7"/>
        <v>0</v>
      </c>
    </row>
    <row r="418" spans="2:13" ht="22.5">
      <c r="B418" s="26">
        <v>406</v>
      </c>
      <c r="C418" s="77"/>
      <c r="D418" s="69"/>
      <c r="E418" s="84"/>
      <c r="F418" s="93"/>
      <c r="G418" s="75"/>
      <c r="H418" s="106"/>
      <c r="I418" s="106"/>
      <c r="J418" s="106"/>
      <c r="K418" s="103"/>
      <c r="L418" s="107"/>
      <c r="M418" s="12" t="b">
        <f t="shared" si="7"/>
        <v>0</v>
      </c>
    </row>
    <row r="419" spans="2:13" ht="22.5">
      <c r="B419" s="26">
        <v>407</v>
      </c>
      <c r="C419" s="77"/>
      <c r="D419" s="69"/>
      <c r="E419" s="84"/>
      <c r="F419" s="93"/>
      <c r="G419" s="75"/>
      <c r="H419" s="106"/>
      <c r="I419" s="106"/>
      <c r="J419" s="106"/>
      <c r="K419" s="103"/>
      <c r="L419" s="107"/>
      <c r="M419" s="12" t="b">
        <f t="shared" si="7"/>
        <v>0</v>
      </c>
    </row>
    <row r="420" spans="2:13" ht="22.5">
      <c r="B420" s="26">
        <v>408</v>
      </c>
      <c r="C420" s="77"/>
      <c r="D420" s="69"/>
      <c r="E420" s="84"/>
      <c r="F420" s="93"/>
      <c r="G420" s="75"/>
      <c r="H420" s="106"/>
      <c r="I420" s="106"/>
      <c r="J420" s="106"/>
      <c r="K420" s="103"/>
      <c r="L420" s="107"/>
      <c r="M420" s="12" t="b">
        <f t="shared" si="7"/>
        <v>0</v>
      </c>
    </row>
    <row r="421" spans="2:13" ht="22.5">
      <c r="B421" s="26">
        <v>409</v>
      </c>
      <c r="C421" s="77"/>
      <c r="D421" s="69"/>
      <c r="E421" s="84"/>
      <c r="F421" s="93"/>
      <c r="G421" s="75"/>
      <c r="H421" s="106"/>
      <c r="I421" s="106"/>
      <c r="J421" s="106"/>
      <c r="K421" s="103"/>
      <c r="L421" s="107"/>
      <c r="M421" s="12" t="b">
        <f t="shared" si="7"/>
        <v>0</v>
      </c>
    </row>
    <row r="422" spans="2:13" ht="22.5">
      <c r="B422" s="26">
        <v>410</v>
      </c>
      <c r="C422" s="77"/>
      <c r="D422" s="69"/>
      <c r="E422" s="84"/>
      <c r="F422" s="93"/>
      <c r="G422" s="75"/>
      <c r="H422" s="106"/>
      <c r="I422" s="106"/>
      <c r="J422" s="106"/>
      <c r="K422" s="103"/>
      <c r="L422" s="107"/>
      <c r="M422" s="12" t="b">
        <f t="shared" si="7"/>
        <v>0</v>
      </c>
    </row>
    <row r="423" spans="2:13" ht="22.5">
      <c r="B423" s="26">
        <v>411</v>
      </c>
      <c r="C423" s="77"/>
      <c r="D423" s="69"/>
      <c r="E423" s="84"/>
      <c r="F423" s="93"/>
      <c r="G423" s="75"/>
      <c r="H423" s="106"/>
      <c r="I423" s="106"/>
      <c r="J423" s="106"/>
      <c r="K423" s="103"/>
      <c r="L423" s="107"/>
      <c r="M423" s="12" t="b">
        <f t="shared" si="7"/>
        <v>0</v>
      </c>
    </row>
    <row r="424" spans="2:13" ht="22.5">
      <c r="B424" s="26">
        <v>412</v>
      </c>
      <c r="C424" s="77"/>
      <c r="D424" s="69"/>
      <c r="E424" s="84"/>
      <c r="F424" s="93"/>
      <c r="G424" s="75"/>
      <c r="H424" s="106"/>
      <c r="I424" s="106"/>
      <c r="J424" s="106"/>
      <c r="K424" s="103"/>
      <c r="L424" s="107"/>
      <c r="M424" s="12" t="b">
        <f t="shared" si="7"/>
        <v>0</v>
      </c>
    </row>
    <row r="425" spans="2:13" ht="22.5">
      <c r="B425" s="26">
        <v>413</v>
      </c>
      <c r="C425" s="77"/>
      <c r="D425" s="69"/>
      <c r="E425" s="84"/>
      <c r="F425" s="93"/>
      <c r="G425" s="75"/>
      <c r="H425" s="106"/>
      <c r="I425" s="106"/>
      <c r="J425" s="106"/>
      <c r="K425" s="103"/>
      <c r="L425" s="107"/>
      <c r="M425" s="12" t="b">
        <f t="shared" si="7"/>
        <v>0</v>
      </c>
    </row>
    <row r="426" spans="2:13" ht="22.5">
      <c r="B426" s="26">
        <v>414</v>
      </c>
      <c r="C426" s="77"/>
      <c r="D426" s="69"/>
      <c r="E426" s="84"/>
      <c r="F426" s="93"/>
      <c r="G426" s="75"/>
      <c r="H426" s="106"/>
      <c r="I426" s="106"/>
      <c r="J426" s="106"/>
      <c r="K426" s="103"/>
      <c r="L426" s="107"/>
      <c r="M426" s="12" t="b">
        <f t="shared" si="7"/>
        <v>0</v>
      </c>
    </row>
    <row r="427" spans="2:13" ht="22.5">
      <c r="B427" s="26">
        <v>415</v>
      </c>
      <c r="C427" s="77"/>
      <c r="D427" s="69"/>
      <c r="E427" s="84"/>
      <c r="F427" s="93"/>
      <c r="G427" s="75"/>
      <c r="H427" s="106"/>
      <c r="I427" s="106"/>
      <c r="J427" s="106"/>
      <c r="K427" s="103"/>
      <c r="L427" s="107"/>
      <c r="M427" s="12" t="b">
        <f t="shared" si="7"/>
        <v>0</v>
      </c>
    </row>
    <row r="428" spans="2:13" ht="22.5">
      <c r="B428" s="26">
        <v>416</v>
      </c>
      <c r="C428" s="77"/>
      <c r="D428" s="69"/>
      <c r="E428" s="84"/>
      <c r="F428" s="93"/>
      <c r="G428" s="75"/>
      <c r="H428" s="106"/>
      <c r="I428" s="106"/>
      <c r="J428" s="106"/>
      <c r="K428" s="103"/>
      <c r="L428" s="107"/>
      <c r="M428" s="12" t="b">
        <f t="shared" si="7"/>
        <v>0</v>
      </c>
    </row>
    <row r="429" spans="2:13" ht="22.5">
      <c r="B429" s="26">
        <v>417</v>
      </c>
      <c r="C429" s="77"/>
      <c r="D429" s="69"/>
      <c r="E429" s="84"/>
      <c r="F429" s="93"/>
      <c r="G429" s="75"/>
      <c r="H429" s="106"/>
      <c r="I429" s="106"/>
      <c r="J429" s="106"/>
      <c r="K429" s="103"/>
      <c r="L429" s="107"/>
      <c r="M429" s="12" t="b">
        <f t="shared" si="7"/>
        <v>0</v>
      </c>
    </row>
    <row r="430" spans="2:13" ht="22.5">
      <c r="B430" s="26">
        <v>418</v>
      </c>
      <c r="C430" s="77"/>
      <c r="D430" s="69"/>
      <c r="E430" s="84"/>
      <c r="F430" s="93"/>
      <c r="G430" s="75"/>
      <c r="H430" s="106"/>
      <c r="I430" s="106"/>
      <c r="J430" s="106"/>
      <c r="K430" s="103"/>
      <c r="L430" s="107"/>
      <c r="M430" s="12" t="b">
        <f t="shared" si="7"/>
        <v>0</v>
      </c>
    </row>
    <row r="431" spans="2:13" ht="22.5">
      <c r="B431" s="26">
        <v>419</v>
      </c>
      <c r="C431" s="77"/>
      <c r="D431" s="69"/>
      <c r="E431" s="84"/>
      <c r="F431" s="93"/>
      <c r="G431" s="75"/>
      <c r="H431" s="106"/>
      <c r="I431" s="106"/>
      <c r="J431" s="106"/>
      <c r="K431" s="103"/>
      <c r="L431" s="107"/>
      <c r="M431" s="12" t="b">
        <f t="shared" si="7"/>
        <v>0</v>
      </c>
    </row>
    <row r="432" spans="2:13" ht="22.5">
      <c r="B432" s="26">
        <v>420</v>
      </c>
      <c r="C432" s="77"/>
      <c r="D432" s="69"/>
      <c r="E432" s="84"/>
      <c r="F432" s="93"/>
      <c r="G432" s="75"/>
      <c r="H432" s="106"/>
      <c r="I432" s="106"/>
      <c r="J432" s="106"/>
      <c r="K432" s="103"/>
      <c r="L432" s="107"/>
      <c r="M432" s="12" t="b">
        <f t="shared" si="7"/>
        <v>0</v>
      </c>
    </row>
    <row r="433" spans="2:13" ht="22.5">
      <c r="B433" s="26">
        <v>421</v>
      </c>
      <c r="C433" s="77"/>
      <c r="D433" s="69"/>
      <c r="E433" s="84"/>
      <c r="F433" s="93"/>
      <c r="G433" s="75"/>
      <c r="H433" s="106"/>
      <c r="I433" s="106"/>
      <c r="J433" s="106"/>
      <c r="K433" s="103"/>
      <c r="L433" s="107"/>
      <c r="M433" s="12" t="b">
        <f t="shared" si="7"/>
        <v>0</v>
      </c>
    </row>
    <row r="434" spans="2:13" ht="22.5">
      <c r="B434" s="26">
        <v>422</v>
      </c>
      <c r="C434" s="77"/>
      <c r="D434" s="69"/>
      <c r="E434" s="84"/>
      <c r="F434" s="93"/>
      <c r="G434" s="75"/>
      <c r="H434" s="106"/>
      <c r="I434" s="106"/>
      <c r="J434" s="106"/>
      <c r="K434" s="103"/>
      <c r="L434" s="107"/>
      <c r="M434" s="12" t="b">
        <f t="shared" si="7"/>
        <v>0</v>
      </c>
    </row>
    <row r="435" spans="2:13" ht="22.5">
      <c r="B435" s="26">
        <v>423</v>
      </c>
      <c r="C435" s="77"/>
      <c r="D435" s="69"/>
      <c r="E435" s="84"/>
      <c r="F435" s="93"/>
      <c r="G435" s="75"/>
      <c r="H435" s="106"/>
      <c r="I435" s="106"/>
      <c r="J435" s="106"/>
      <c r="K435" s="103"/>
      <c r="L435" s="107"/>
      <c r="M435" s="12" t="b">
        <f t="shared" si="7"/>
        <v>0</v>
      </c>
    </row>
    <row r="436" spans="2:13" ht="22.5">
      <c r="B436" s="26">
        <v>424</v>
      </c>
      <c r="C436" s="77"/>
      <c r="D436" s="69"/>
      <c r="E436" s="84"/>
      <c r="F436" s="93"/>
      <c r="G436" s="75"/>
      <c r="H436" s="106"/>
      <c r="I436" s="106"/>
      <c r="J436" s="106"/>
      <c r="K436" s="103"/>
      <c r="L436" s="107"/>
      <c r="M436" s="12" t="b">
        <f t="shared" si="7"/>
        <v>0</v>
      </c>
    </row>
    <row r="437" spans="2:13" ht="22.5">
      <c r="B437" s="26">
        <v>425</v>
      </c>
      <c r="C437" s="77"/>
      <c r="D437" s="69"/>
      <c r="E437" s="84"/>
      <c r="F437" s="93"/>
      <c r="G437" s="75"/>
      <c r="H437" s="106"/>
      <c r="I437" s="106"/>
      <c r="J437" s="106"/>
      <c r="K437" s="103"/>
      <c r="L437" s="107"/>
      <c r="M437" s="12" t="b">
        <f t="shared" si="7"/>
        <v>0</v>
      </c>
    </row>
    <row r="438" spans="2:13" ht="22.5">
      <c r="B438" s="26">
        <v>426</v>
      </c>
      <c r="C438" s="77"/>
      <c r="D438" s="69"/>
      <c r="E438" s="84"/>
      <c r="F438" s="93"/>
      <c r="G438" s="75"/>
      <c r="H438" s="106"/>
      <c r="I438" s="106"/>
      <c r="J438" s="106"/>
      <c r="K438" s="103"/>
      <c r="L438" s="107"/>
      <c r="M438" s="12" t="b">
        <f t="shared" si="7"/>
        <v>0</v>
      </c>
    </row>
    <row r="439" spans="2:13" ht="22.5">
      <c r="B439" s="26">
        <v>427</v>
      </c>
      <c r="C439" s="77"/>
      <c r="D439" s="69"/>
      <c r="E439" s="84"/>
      <c r="F439" s="93"/>
      <c r="G439" s="75"/>
      <c r="H439" s="106"/>
      <c r="I439" s="106"/>
      <c r="J439" s="106"/>
      <c r="K439" s="103"/>
      <c r="L439" s="107"/>
      <c r="M439" s="12" t="b">
        <f t="shared" si="7"/>
        <v>0</v>
      </c>
    </row>
    <row r="440" spans="2:13" ht="22.5">
      <c r="B440" s="26">
        <v>428</v>
      </c>
      <c r="C440" s="77"/>
      <c r="D440" s="69"/>
      <c r="E440" s="84"/>
      <c r="F440" s="93"/>
      <c r="G440" s="75"/>
      <c r="H440" s="106"/>
      <c r="I440" s="106"/>
      <c r="J440" s="106"/>
      <c r="K440" s="103"/>
      <c r="L440" s="107"/>
      <c r="M440" s="12" t="b">
        <f t="shared" si="7"/>
        <v>0</v>
      </c>
    </row>
    <row r="441" spans="2:13" ht="22.5">
      <c r="B441" s="26">
        <v>429</v>
      </c>
      <c r="C441" s="77"/>
      <c r="D441" s="69"/>
      <c r="E441" s="84"/>
      <c r="F441" s="93"/>
      <c r="G441" s="75"/>
      <c r="H441" s="106"/>
      <c r="I441" s="106"/>
      <c r="J441" s="106"/>
      <c r="K441" s="103"/>
      <c r="L441" s="107"/>
      <c r="M441" s="12" t="b">
        <f t="shared" si="7"/>
        <v>0</v>
      </c>
    </row>
    <row r="442" spans="2:13" ht="22.5">
      <c r="B442" s="26">
        <v>430</v>
      </c>
      <c r="C442" s="77"/>
      <c r="D442" s="69"/>
      <c r="E442" s="84"/>
      <c r="F442" s="93"/>
      <c r="G442" s="75"/>
      <c r="H442" s="106"/>
      <c r="I442" s="106"/>
      <c r="J442" s="106"/>
      <c r="K442" s="103"/>
      <c r="L442" s="107"/>
      <c r="M442" s="12" t="b">
        <f t="shared" si="7"/>
        <v>0</v>
      </c>
    </row>
    <row r="443" spans="2:13" ht="22.5">
      <c r="B443" s="26">
        <v>431</v>
      </c>
      <c r="C443" s="77"/>
      <c r="D443" s="69"/>
      <c r="E443" s="84"/>
      <c r="F443" s="93"/>
      <c r="G443" s="75"/>
      <c r="H443" s="106"/>
      <c r="I443" s="106"/>
      <c r="J443" s="106"/>
      <c r="K443" s="103"/>
      <c r="L443" s="107"/>
      <c r="M443" s="12" t="b">
        <f t="shared" si="7"/>
        <v>0</v>
      </c>
    </row>
    <row r="444" spans="2:13" ht="22.5">
      <c r="B444" s="26">
        <v>432</v>
      </c>
      <c r="C444" s="77"/>
      <c r="D444" s="69"/>
      <c r="E444" s="84"/>
      <c r="F444" s="93"/>
      <c r="G444" s="75"/>
      <c r="H444" s="106"/>
      <c r="I444" s="106"/>
      <c r="J444" s="106"/>
      <c r="K444" s="103"/>
      <c r="L444" s="107"/>
      <c r="M444" s="12" t="b">
        <f t="shared" si="7"/>
        <v>0</v>
      </c>
    </row>
    <row r="445" spans="2:13" ht="22.5">
      <c r="B445" s="26">
        <v>433</v>
      </c>
      <c r="C445" s="77"/>
      <c r="D445" s="69"/>
      <c r="E445" s="84"/>
      <c r="F445" s="93"/>
      <c r="G445" s="75"/>
      <c r="H445" s="106"/>
      <c r="I445" s="106"/>
      <c r="J445" s="106"/>
      <c r="K445" s="103"/>
      <c r="L445" s="107"/>
      <c r="M445" s="12" t="b">
        <f t="shared" si="7"/>
        <v>0</v>
      </c>
    </row>
    <row r="446" spans="2:13" ht="22.5">
      <c r="B446" s="26">
        <v>434</v>
      </c>
      <c r="C446" s="77"/>
      <c r="D446" s="69"/>
      <c r="E446" s="84"/>
      <c r="F446" s="93"/>
      <c r="G446" s="75"/>
      <c r="H446" s="106"/>
      <c r="I446" s="106"/>
      <c r="J446" s="106"/>
      <c r="K446" s="103"/>
      <c r="L446" s="107"/>
      <c r="M446" s="12" t="b">
        <f t="shared" si="7"/>
        <v>0</v>
      </c>
    </row>
    <row r="447" spans="2:13" ht="22.5">
      <c r="B447" s="26">
        <v>435</v>
      </c>
      <c r="C447" s="77"/>
      <c r="D447" s="69"/>
      <c r="E447" s="84"/>
      <c r="F447" s="93"/>
      <c r="G447" s="75"/>
      <c r="H447" s="106"/>
      <c r="I447" s="106"/>
      <c r="J447" s="106"/>
      <c r="K447" s="103"/>
      <c r="L447" s="107"/>
      <c r="M447" s="12" t="b">
        <f t="shared" si="7"/>
        <v>0</v>
      </c>
    </row>
    <row r="448" spans="2:13" ht="22.5">
      <c r="B448" s="26">
        <v>436</v>
      </c>
      <c r="C448" s="77"/>
      <c r="D448" s="69"/>
      <c r="E448" s="84"/>
      <c r="F448" s="93"/>
      <c r="G448" s="75"/>
      <c r="H448" s="106"/>
      <c r="I448" s="106"/>
      <c r="J448" s="106"/>
      <c r="K448" s="103"/>
      <c r="L448" s="107"/>
      <c r="M448" s="12" t="b">
        <f t="shared" si="7"/>
        <v>0</v>
      </c>
    </row>
    <row r="449" spans="2:13" ht="22.5">
      <c r="B449" s="26">
        <v>437</v>
      </c>
      <c r="C449" s="77"/>
      <c r="D449" s="69"/>
      <c r="E449" s="84"/>
      <c r="F449" s="93"/>
      <c r="G449" s="75"/>
      <c r="H449" s="106"/>
      <c r="I449" s="106"/>
      <c r="J449" s="106"/>
      <c r="K449" s="103"/>
      <c r="L449" s="107"/>
      <c r="M449" s="12" t="b">
        <f t="shared" si="7"/>
        <v>0</v>
      </c>
    </row>
    <row r="450" spans="2:13" ht="22.5">
      <c r="B450" s="26">
        <v>438</v>
      </c>
      <c r="C450" s="77"/>
      <c r="D450" s="69"/>
      <c r="E450" s="84"/>
      <c r="F450" s="93"/>
      <c r="G450" s="75"/>
      <c r="H450" s="106"/>
      <c r="I450" s="106"/>
      <c r="J450" s="106"/>
      <c r="K450" s="103"/>
      <c r="L450" s="107"/>
      <c r="M450" s="12" t="b">
        <f t="shared" si="7"/>
        <v>0</v>
      </c>
    </row>
    <row r="451" spans="2:13" ht="22.5">
      <c r="B451" s="26">
        <v>439</v>
      </c>
      <c r="C451" s="77"/>
      <c r="D451" s="69"/>
      <c r="E451" s="84"/>
      <c r="F451" s="93"/>
      <c r="G451" s="75"/>
      <c r="H451" s="106"/>
      <c r="I451" s="106"/>
      <c r="J451" s="106"/>
      <c r="K451" s="103"/>
      <c r="L451" s="107"/>
      <c r="M451" s="12" t="b">
        <f t="shared" si="7"/>
        <v>0</v>
      </c>
    </row>
    <row r="452" spans="2:13" ht="22.5">
      <c r="B452" s="26">
        <v>440</v>
      </c>
      <c r="C452" s="77"/>
      <c r="D452" s="69"/>
      <c r="E452" s="84"/>
      <c r="F452" s="93"/>
      <c r="G452" s="75"/>
      <c r="H452" s="106"/>
      <c r="I452" s="106"/>
      <c r="J452" s="106"/>
      <c r="K452" s="103"/>
      <c r="L452" s="107"/>
      <c r="M452" s="12" t="b">
        <f t="shared" si="7"/>
        <v>0</v>
      </c>
    </row>
    <row r="453" spans="2:13" ht="22.5">
      <c r="B453" s="26">
        <v>441</v>
      </c>
      <c r="C453" s="77"/>
      <c r="D453" s="69"/>
      <c r="E453" s="84"/>
      <c r="F453" s="93"/>
      <c r="G453" s="75"/>
      <c r="H453" s="106"/>
      <c r="I453" s="106"/>
      <c r="J453" s="106"/>
      <c r="K453" s="103"/>
      <c r="L453" s="107"/>
      <c r="M453" s="12" t="b">
        <f t="shared" si="7"/>
        <v>0</v>
      </c>
    </row>
    <row r="454" spans="2:13" ht="22.5">
      <c r="B454" s="26">
        <v>442</v>
      </c>
      <c r="C454" s="77"/>
      <c r="D454" s="69"/>
      <c r="E454" s="84"/>
      <c r="F454" s="93"/>
      <c r="G454" s="75"/>
      <c r="H454" s="106"/>
      <c r="I454" s="106"/>
      <c r="J454" s="106"/>
      <c r="K454" s="103"/>
      <c r="L454" s="107"/>
      <c r="M454" s="12" t="b">
        <f t="shared" si="7"/>
        <v>0</v>
      </c>
    </row>
    <row r="455" spans="2:13" ht="22.5">
      <c r="B455" s="26">
        <v>443</v>
      </c>
      <c r="C455" s="77"/>
      <c r="D455" s="69"/>
      <c r="E455" s="84"/>
      <c r="F455" s="93"/>
      <c r="G455" s="75"/>
      <c r="H455" s="106"/>
      <c r="I455" s="106"/>
      <c r="J455" s="106"/>
      <c r="K455" s="103"/>
      <c r="L455" s="107"/>
      <c r="M455" s="12" t="b">
        <f t="shared" si="7"/>
        <v>0</v>
      </c>
    </row>
    <row r="456" spans="2:13" ht="22.5">
      <c r="B456" s="26">
        <v>444</v>
      </c>
      <c r="C456" s="77"/>
      <c r="D456" s="69"/>
      <c r="E456" s="84"/>
      <c r="F456" s="93"/>
      <c r="G456" s="75"/>
      <c r="H456" s="106"/>
      <c r="I456" s="106"/>
      <c r="J456" s="106"/>
      <c r="K456" s="103"/>
      <c r="L456" s="107"/>
      <c r="M456" s="12" t="b">
        <f t="shared" si="7"/>
        <v>0</v>
      </c>
    </row>
    <row r="457" spans="2:13" ht="22.5">
      <c r="B457" s="26">
        <v>445</v>
      </c>
      <c r="C457" s="77"/>
      <c r="D457" s="69"/>
      <c r="E457" s="84"/>
      <c r="F457" s="93"/>
      <c r="G457" s="75"/>
      <c r="H457" s="106"/>
      <c r="I457" s="106"/>
      <c r="J457" s="106"/>
      <c r="K457" s="103"/>
      <c r="L457" s="107"/>
      <c r="M457" s="12" t="b">
        <f t="shared" si="7"/>
        <v>0</v>
      </c>
    </row>
    <row r="458" spans="2:13" ht="22.5">
      <c r="B458" s="26">
        <v>446</v>
      </c>
      <c r="C458" s="77"/>
      <c r="D458" s="69"/>
      <c r="E458" s="84"/>
      <c r="F458" s="93"/>
      <c r="G458" s="75"/>
      <c r="H458" s="106"/>
      <c r="I458" s="106"/>
      <c r="J458" s="106"/>
      <c r="K458" s="103"/>
      <c r="L458" s="107"/>
      <c r="M458" s="12" t="b">
        <f t="shared" si="7"/>
        <v>0</v>
      </c>
    </row>
    <row r="459" spans="2:13" ht="22.5">
      <c r="B459" s="26">
        <v>447</v>
      </c>
      <c r="C459" s="77"/>
      <c r="D459" s="69"/>
      <c r="E459" s="84"/>
      <c r="F459" s="93"/>
      <c r="G459" s="75"/>
      <c r="H459" s="106"/>
      <c r="I459" s="106"/>
      <c r="J459" s="106"/>
      <c r="K459" s="103"/>
      <c r="L459" s="107"/>
      <c r="M459" s="12" t="b">
        <f t="shared" si="7"/>
        <v>0</v>
      </c>
    </row>
    <row r="460" spans="2:13" ht="22.5">
      <c r="B460" s="26">
        <v>448</v>
      </c>
      <c r="C460" s="77"/>
      <c r="D460" s="69"/>
      <c r="E460" s="84"/>
      <c r="F460" s="93"/>
      <c r="G460" s="75"/>
      <c r="H460" s="106"/>
      <c r="I460" s="106"/>
      <c r="J460" s="106"/>
      <c r="K460" s="103"/>
      <c r="L460" s="107"/>
      <c r="M460" s="12" t="b">
        <f t="shared" si="7"/>
        <v>0</v>
      </c>
    </row>
    <row r="461" spans="2:13" ht="22.5">
      <c r="B461" s="26">
        <v>449</v>
      </c>
      <c r="C461" s="77"/>
      <c r="D461" s="69"/>
      <c r="E461" s="84"/>
      <c r="F461" s="93"/>
      <c r="G461" s="75"/>
      <c r="H461" s="106"/>
      <c r="I461" s="106"/>
      <c r="J461" s="106"/>
      <c r="K461" s="103"/>
      <c r="L461" s="107"/>
      <c r="M461" s="12" t="b">
        <f t="shared" ref="M461:M512" si="8">IF(COUNTA(E461:G461)=0,FALSE,TRUE)</f>
        <v>0</v>
      </c>
    </row>
    <row r="462" spans="2:13" ht="22.5">
      <c r="B462" s="26">
        <v>450</v>
      </c>
      <c r="C462" s="77"/>
      <c r="D462" s="69"/>
      <c r="E462" s="84"/>
      <c r="F462" s="93"/>
      <c r="G462" s="75"/>
      <c r="H462" s="106"/>
      <c r="I462" s="106"/>
      <c r="J462" s="106"/>
      <c r="K462" s="103"/>
      <c r="L462" s="107"/>
      <c r="M462" s="12" t="b">
        <f t="shared" si="8"/>
        <v>0</v>
      </c>
    </row>
    <row r="463" spans="2:13" ht="22.5">
      <c r="B463" s="26">
        <v>451</v>
      </c>
      <c r="C463" s="77"/>
      <c r="D463" s="69"/>
      <c r="E463" s="84"/>
      <c r="F463" s="93"/>
      <c r="G463" s="75"/>
      <c r="H463" s="106"/>
      <c r="I463" s="106"/>
      <c r="J463" s="106"/>
      <c r="K463" s="103"/>
      <c r="L463" s="107"/>
      <c r="M463" s="12" t="b">
        <f t="shared" si="8"/>
        <v>0</v>
      </c>
    </row>
    <row r="464" spans="2:13" ht="22.5">
      <c r="B464" s="26">
        <v>452</v>
      </c>
      <c r="C464" s="77"/>
      <c r="D464" s="69"/>
      <c r="E464" s="84"/>
      <c r="F464" s="93"/>
      <c r="G464" s="75"/>
      <c r="H464" s="106"/>
      <c r="I464" s="106"/>
      <c r="J464" s="106"/>
      <c r="K464" s="103"/>
      <c r="L464" s="107"/>
      <c r="M464" s="12" t="b">
        <f t="shared" si="8"/>
        <v>0</v>
      </c>
    </row>
    <row r="465" spans="2:13" ht="22.5">
      <c r="B465" s="26">
        <v>453</v>
      </c>
      <c r="C465" s="77"/>
      <c r="D465" s="69"/>
      <c r="E465" s="84"/>
      <c r="F465" s="93"/>
      <c r="G465" s="75"/>
      <c r="H465" s="106"/>
      <c r="I465" s="106"/>
      <c r="J465" s="106"/>
      <c r="K465" s="103"/>
      <c r="L465" s="107"/>
      <c r="M465" s="12" t="b">
        <f t="shared" si="8"/>
        <v>0</v>
      </c>
    </row>
    <row r="466" spans="2:13" ht="22.5">
      <c r="B466" s="26">
        <v>454</v>
      </c>
      <c r="C466" s="77"/>
      <c r="D466" s="69"/>
      <c r="E466" s="84"/>
      <c r="F466" s="93"/>
      <c r="G466" s="75"/>
      <c r="H466" s="106"/>
      <c r="I466" s="106"/>
      <c r="J466" s="106"/>
      <c r="K466" s="103"/>
      <c r="L466" s="107"/>
      <c r="M466" s="12" t="b">
        <f t="shared" si="8"/>
        <v>0</v>
      </c>
    </row>
    <row r="467" spans="2:13" ht="22.5">
      <c r="B467" s="26">
        <v>455</v>
      </c>
      <c r="C467" s="77"/>
      <c r="D467" s="69"/>
      <c r="E467" s="84"/>
      <c r="F467" s="93"/>
      <c r="G467" s="75"/>
      <c r="H467" s="106"/>
      <c r="I467" s="106"/>
      <c r="J467" s="106"/>
      <c r="K467" s="103"/>
      <c r="L467" s="107"/>
      <c r="M467" s="12" t="b">
        <f t="shared" si="8"/>
        <v>0</v>
      </c>
    </row>
    <row r="468" spans="2:13" ht="22.5">
      <c r="B468" s="26">
        <v>456</v>
      </c>
      <c r="C468" s="77"/>
      <c r="D468" s="69"/>
      <c r="E468" s="84"/>
      <c r="F468" s="93"/>
      <c r="G468" s="75"/>
      <c r="H468" s="106"/>
      <c r="I468" s="106"/>
      <c r="J468" s="106"/>
      <c r="K468" s="103"/>
      <c r="L468" s="107"/>
      <c r="M468" s="12" t="b">
        <f t="shared" si="8"/>
        <v>0</v>
      </c>
    </row>
    <row r="469" spans="2:13" ht="22.5">
      <c r="B469" s="26">
        <v>457</v>
      </c>
      <c r="C469" s="77"/>
      <c r="D469" s="69"/>
      <c r="E469" s="84"/>
      <c r="F469" s="93"/>
      <c r="G469" s="75"/>
      <c r="H469" s="106"/>
      <c r="I469" s="106"/>
      <c r="J469" s="106"/>
      <c r="K469" s="103"/>
      <c r="L469" s="107"/>
      <c r="M469" s="12" t="b">
        <f t="shared" si="8"/>
        <v>0</v>
      </c>
    </row>
    <row r="470" spans="2:13" ht="22.5">
      <c r="B470" s="26">
        <v>458</v>
      </c>
      <c r="C470" s="77"/>
      <c r="D470" s="69"/>
      <c r="E470" s="84"/>
      <c r="F470" s="93"/>
      <c r="G470" s="75"/>
      <c r="H470" s="106"/>
      <c r="I470" s="106"/>
      <c r="J470" s="106"/>
      <c r="K470" s="103"/>
      <c r="L470" s="107"/>
      <c r="M470" s="12" t="b">
        <f t="shared" si="8"/>
        <v>0</v>
      </c>
    </row>
    <row r="471" spans="2:13" ht="22.5">
      <c r="B471" s="26">
        <v>459</v>
      </c>
      <c r="C471" s="77"/>
      <c r="D471" s="69"/>
      <c r="E471" s="84"/>
      <c r="F471" s="93"/>
      <c r="G471" s="75"/>
      <c r="H471" s="106"/>
      <c r="I471" s="106"/>
      <c r="J471" s="106"/>
      <c r="K471" s="103"/>
      <c r="L471" s="107"/>
      <c r="M471" s="12" t="b">
        <f t="shared" si="8"/>
        <v>0</v>
      </c>
    </row>
    <row r="472" spans="2:13" ht="22.5">
      <c r="B472" s="26">
        <v>460</v>
      </c>
      <c r="C472" s="77"/>
      <c r="D472" s="69"/>
      <c r="E472" s="84"/>
      <c r="F472" s="93"/>
      <c r="G472" s="75"/>
      <c r="H472" s="106"/>
      <c r="I472" s="106"/>
      <c r="J472" s="106"/>
      <c r="K472" s="103"/>
      <c r="L472" s="107"/>
      <c r="M472" s="12" t="b">
        <f t="shared" si="8"/>
        <v>0</v>
      </c>
    </row>
    <row r="473" spans="2:13" ht="22.5">
      <c r="B473" s="26">
        <v>461</v>
      </c>
      <c r="C473" s="77"/>
      <c r="D473" s="69"/>
      <c r="E473" s="84"/>
      <c r="F473" s="93"/>
      <c r="G473" s="75"/>
      <c r="H473" s="106"/>
      <c r="I473" s="106"/>
      <c r="J473" s="106"/>
      <c r="K473" s="103"/>
      <c r="L473" s="107"/>
      <c r="M473" s="12" t="b">
        <f t="shared" si="8"/>
        <v>0</v>
      </c>
    </row>
    <row r="474" spans="2:13" ht="22.5">
      <c r="B474" s="26">
        <v>462</v>
      </c>
      <c r="C474" s="77"/>
      <c r="D474" s="69"/>
      <c r="E474" s="84"/>
      <c r="F474" s="93"/>
      <c r="G474" s="75"/>
      <c r="H474" s="106"/>
      <c r="I474" s="106"/>
      <c r="J474" s="106"/>
      <c r="K474" s="103"/>
      <c r="L474" s="107"/>
      <c r="M474" s="12" t="b">
        <f t="shared" si="8"/>
        <v>0</v>
      </c>
    </row>
    <row r="475" spans="2:13" ht="22.5">
      <c r="B475" s="26">
        <v>463</v>
      </c>
      <c r="C475" s="77"/>
      <c r="D475" s="69"/>
      <c r="E475" s="84"/>
      <c r="F475" s="93"/>
      <c r="G475" s="75"/>
      <c r="H475" s="106"/>
      <c r="I475" s="106"/>
      <c r="J475" s="106"/>
      <c r="K475" s="103"/>
      <c r="L475" s="107"/>
      <c r="M475" s="12" t="b">
        <f t="shared" si="8"/>
        <v>0</v>
      </c>
    </row>
    <row r="476" spans="2:13" ht="22.5">
      <c r="B476" s="26">
        <v>464</v>
      </c>
      <c r="C476" s="77"/>
      <c r="D476" s="69"/>
      <c r="E476" s="84"/>
      <c r="F476" s="93"/>
      <c r="G476" s="75"/>
      <c r="H476" s="106"/>
      <c r="I476" s="106"/>
      <c r="J476" s="106"/>
      <c r="K476" s="103"/>
      <c r="L476" s="107"/>
      <c r="M476" s="12" t="b">
        <f t="shared" si="8"/>
        <v>0</v>
      </c>
    </row>
    <row r="477" spans="2:13" ht="22.5">
      <c r="B477" s="26">
        <v>465</v>
      </c>
      <c r="C477" s="77"/>
      <c r="D477" s="69"/>
      <c r="E477" s="84"/>
      <c r="F477" s="93"/>
      <c r="G477" s="75"/>
      <c r="H477" s="106"/>
      <c r="I477" s="106"/>
      <c r="J477" s="106"/>
      <c r="K477" s="103"/>
      <c r="L477" s="107"/>
      <c r="M477" s="12" t="b">
        <f t="shared" si="8"/>
        <v>0</v>
      </c>
    </row>
    <row r="478" spans="2:13" ht="22.5">
      <c r="B478" s="26">
        <v>466</v>
      </c>
      <c r="C478" s="77"/>
      <c r="D478" s="69"/>
      <c r="E478" s="84"/>
      <c r="F478" s="93"/>
      <c r="G478" s="75"/>
      <c r="H478" s="106"/>
      <c r="I478" s="106"/>
      <c r="J478" s="106"/>
      <c r="K478" s="103"/>
      <c r="L478" s="107"/>
      <c r="M478" s="12" t="b">
        <f t="shared" si="8"/>
        <v>0</v>
      </c>
    </row>
    <row r="479" spans="2:13" ht="22.5">
      <c r="B479" s="26">
        <v>467</v>
      </c>
      <c r="C479" s="77"/>
      <c r="D479" s="69"/>
      <c r="E479" s="84"/>
      <c r="F479" s="93"/>
      <c r="G479" s="75"/>
      <c r="H479" s="106"/>
      <c r="I479" s="106"/>
      <c r="J479" s="106"/>
      <c r="K479" s="103"/>
      <c r="L479" s="107"/>
      <c r="M479" s="12" t="b">
        <f t="shared" si="8"/>
        <v>0</v>
      </c>
    </row>
    <row r="480" spans="2:13" ht="22.5">
      <c r="B480" s="26">
        <v>468</v>
      </c>
      <c r="C480" s="77"/>
      <c r="D480" s="69"/>
      <c r="E480" s="84"/>
      <c r="F480" s="93"/>
      <c r="G480" s="75"/>
      <c r="H480" s="106"/>
      <c r="I480" s="106"/>
      <c r="J480" s="106"/>
      <c r="K480" s="103"/>
      <c r="L480" s="107"/>
      <c r="M480" s="12" t="b">
        <f t="shared" si="8"/>
        <v>0</v>
      </c>
    </row>
    <row r="481" spans="2:13" ht="22.5">
      <c r="B481" s="26">
        <v>469</v>
      </c>
      <c r="C481" s="77"/>
      <c r="D481" s="69"/>
      <c r="E481" s="84"/>
      <c r="F481" s="93"/>
      <c r="G481" s="75"/>
      <c r="H481" s="106"/>
      <c r="I481" s="106"/>
      <c r="J481" s="106"/>
      <c r="K481" s="103"/>
      <c r="L481" s="107"/>
      <c r="M481" s="12" t="b">
        <f t="shared" si="8"/>
        <v>0</v>
      </c>
    </row>
    <row r="482" spans="2:13" ht="22.5">
      <c r="B482" s="26">
        <v>470</v>
      </c>
      <c r="C482" s="77"/>
      <c r="D482" s="69"/>
      <c r="E482" s="84"/>
      <c r="F482" s="93"/>
      <c r="G482" s="75"/>
      <c r="H482" s="106"/>
      <c r="I482" s="106"/>
      <c r="J482" s="106"/>
      <c r="K482" s="103"/>
      <c r="L482" s="107"/>
      <c r="M482" s="12" t="b">
        <f t="shared" si="8"/>
        <v>0</v>
      </c>
    </row>
    <row r="483" spans="2:13" ht="22.5">
      <c r="B483" s="26">
        <v>471</v>
      </c>
      <c r="C483" s="77"/>
      <c r="D483" s="69"/>
      <c r="E483" s="84"/>
      <c r="F483" s="93"/>
      <c r="G483" s="75"/>
      <c r="H483" s="106"/>
      <c r="I483" s="106"/>
      <c r="J483" s="106"/>
      <c r="K483" s="103"/>
      <c r="L483" s="107"/>
      <c r="M483" s="12" t="b">
        <f t="shared" si="8"/>
        <v>0</v>
      </c>
    </row>
    <row r="484" spans="2:13" ht="22.5">
      <c r="B484" s="26">
        <v>472</v>
      </c>
      <c r="C484" s="77"/>
      <c r="D484" s="69"/>
      <c r="E484" s="84"/>
      <c r="F484" s="93"/>
      <c r="G484" s="75"/>
      <c r="H484" s="106"/>
      <c r="I484" s="106"/>
      <c r="J484" s="106"/>
      <c r="K484" s="103"/>
      <c r="L484" s="107"/>
      <c r="M484" s="12" t="b">
        <f t="shared" si="8"/>
        <v>0</v>
      </c>
    </row>
    <row r="485" spans="2:13" ht="22.5">
      <c r="B485" s="26">
        <v>473</v>
      </c>
      <c r="C485" s="77"/>
      <c r="D485" s="69"/>
      <c r="E485" s="84"/>
      <c r="F485" s="93"/>
      <c r="G485" s="75"/>
      <c r="H485" s="106"/>
      <c r="I485" s="106"/>
      <c r="J485" s="106"/>
      <c r="K485" s="103"/>
      <c r="L485" s="107"/>
      <c r="M485" s="12" t="b">
        <f t="shared" si="8"/>
        <v>0</v>
      </c>
    </row>
    <row r="486" spans="2:13" ht="22.5">
      <c r="B486" s="26">
        <v>474</v>
      </c>
      <c r="C486" s="77"/>
      <c r="D486" s="69"/>
      <c r="E486" s="84"/>
      <c r="F486" s="93"/>
      <c r="G486" s="75"/>
      <c r="H486" s="106"/>
      <c r="I486" s="106"/>
      <c r="J486" s="106"/>
      <c r="K486" s="103"/>
      <c r="L486" s="107"/>
      <c r="M486" s="12" t="b">
        <f t="shared" si="8"/>
        <v>0</v>
      </c>
    </row>
    <row r="487" spans="2:13" ht="22.5">
      <c r="B487" s="26">
        <v>475</v>
      </c>
      <c r="C487" s="77"/>
      <c r="D487" s="69"/>
      <c r="E487" s="84"/>
      <c r="F487" s="93"/>
      <c r="G487" s="75"/>
      <c r="H487" s="106"/>
      <c r="I487" s="106"/>
      <c r="J487" s="106"/>
      <c r="K487" s="103"/>
      <c r="L487" s="107"/>
      <c r="M487" s="12" t="b">
        <f t="shared" si="8"/>
        <v>0</v>
      </c>
    </row>
    <row r="488" spans="2:13" ht="22.5">
      <c r="B488" s="26">
        <v>476</v>
      </c>
      <c r="C488" s="77"/>
      <c r="D488" s="69"/>
      <c r="E488" s="84"/>
      <c r="F488" s="93"/>
      <c r="G488" s="75"/>
      <c r="H488" s="106"/>
      <c r="I488" s="106"/>
      <c r="J488" s="106"/>
      <c r="K488" s="103"/>
      <c r="L488" s="107"/>
      <c r="M488" s="12" t="b">
        <f t="shared" si="8"/>
        <v>0</v>
      </c>
    </row>
    <row r="489" spans="2:13" ht="22.5">
      <c r="B489" s="26">
        <v>477</v>
      </c>
      <c r="C489" s="77"/>
      <c r="D489" s="69"/>
      <c r="E489" s="84"/>
      <c r="F489" s="93"/>
      <c r="G489" s="75"/>
      <c r="H489" s="106"/>
      <c r="I489" s="106"/>
      <c r="J489" s="106"/>
      <c r="K489" s="103"/>
      <c r="L489" s="107"/>
      <c r="M489" s="12" t="b">
        <f t="shared" si="8"/>
        <v>0</v>
      </c>
    </row>
    <row r="490" spans="2:13" ht="22.5">
      <c r="B490" s="26">
        <v>478</v>
      </c>
      <c r="C490" s="77"/>
      <c r="D490" s="69"/>
      <c r="E490" s="84"/>
      <c r="F490" s="93"/>
      <c r="G490" s="75"/>
      <c r="H490" s="106"/>
      <c r="I490" s="106"/>
      <c r="J490" s="106"/>
      <c r="K490" s="103"/>
      <c r="L490" s="107"/>
      <c r="M490" s="12" t="b">
        <f t="shared" si="8"/>
        <v>0</v>
      </c>
    </row>
    <row r="491" spans="2:13" ht="22.5">
      <c r="B491" s="26">
        <v>479</v>
      </c>
      <c r="C491" s="77"/>
      <c r="D491" s="69"/>
      <c r="E491" s="84"/>
      <c r="F491" s="93"/>
      <c r="G491" s="75"/>
      <c r="H491" s="106"/>
      <c r="I491" s="106"/>
      <c r="J491" s="106"/>
      <c r="K491" s="103"/>
      <c r="L491" s="107"/>
      <c r="M491" s="12" t="b">
        <f t="shared" si="8"/>
        <v>0</v>
      </c>
    </row>
    <row r="492" spans="2:13" ht="22.5">
      <c r="B492" s="26">
        <v>480</v>
      </c>
      <c r="C492" s="77"/>
      <c r="D492" s="69"/>
      <c r="E492" s="84"/>
      <c r="F492" s="93"/>
      <c r="G492" s="75"/>
      <c r="H492" s="106"/>
      <c r="I492" s="106"/>
      <c r="J492" s="106"/>
      <c r="K492" s="103"/>
      <c r="L492" s="107"/>
      <c r="M492" s="12" t="b">
        <f t="shared" si="8"/>
        <v>0</v>
      </c>
    </row>
    <row r="493" spans="2:13" ht="22.5">
      <c r="B493" s="26">
        <v>481</v>
      </c>
      <c r="C493" s="77"/>
      <c r="D493" s="69"/>
      <c r="E493" s="84"/>
      <c r="F493" s="93"/>
      <c r="G493" s="75"/>
      <c r="H493" s="106"/>
      <c r="I493" s="106"/>
      <c r="J493" s="106"/>
      <c r="K493" s="103"/>
      <c r="L493" s="107"/>
      <c r="M493" s="12" t="b">
        <f t="shared" si="8"/>
        <v>0</v>
      </c>
    </row>
    <row r="494" spans="2:13" ht="22.5">
      <c r="B494" s="26">
        <v>482</v>
      </c>
      <c r="C494" s="77"/>
      <c r="D494" s="69"/>
      <c r="E494" s="84"/>
      <c r="F494" s="93"/>
      <c r="G494" s="75"/>
      <c r="H494" s="106"/>
      <c r="I494" s="106"/>
      <c r="J494" s="106"/>
      <c r="K494" s="103"/>
      <c r="L494" s="107"/>
      <c r="M494" s="12" t="b">
        <f t="shared" si="8"/>
        <v>0</v>
      </c>
    </row>
    <row r="495" spans="2:13" ht="22.5">
      <c r="B495" s="26">
        <v>483</v>
      </c>
      <c r="C495" s="77"/>
      <c r="D495" s="69"/>
      <c r="E495" s="84"/>
      <c r="F495" s="93"/>
      <c r="G495" s="75"/>
      <c r="H495" s="106"/>
      <c r="I495" s="106"/>
      <c r="J495" s="106"/>
      <c r="K495" s="103"/>
      <c r="L495" s="107"/>
      <c r="M495" s="12" t="b">
        <f t="shared" si="8"/>
        <v>0</v>
      </c>
    </row>
    <row r="496" spans="2:13" ht="22.5">
      <c r="B496" s="26">
        <v>484</v>
      </c>
      <c r="C496" s="77"/>
      <c r="D496" s="69"/>
      <c r="E496" s="84"/>
      <c r="F496" s="93"/>
      <c r="G496" s="75"/>
      <c r="H496" s="106"/>
      <c r="I496" s="106"/>
      <c r="J496" s="106"/>
      <c r="K496" s="103"/>
      <c r="L496" s="107"/>
      <c r="M496" s="12" t="b">
        <f t="shared" si="8"/>
        <v>0</v>
      </c>
    </row>
    <row r="497" spans="2:13" ht="22.5">
      <c r="B497" s="26">
        <v>485</v>
      </c>
      <c r="C497" s="77"/>
      <c r="D497" s="69"/>
      <c r="E497" s="84"/>
      <c r="F497" s="93"/>
      <c r="G497" s="75"/>
      <c r="H497" s="106"/>
      <c r="I497" s="106"/>
      <c r="J497" s="106"/>
      <c r="K497" s="103"/>
      <c r="L497" s="107"/>
      <c r="M497" s="12" t="b">
        <f t="shared" si="8"/>
        <v>0</v>
      </c>
    </row>
    <row r="498" spans="2:13" ht="22.5">
      <c r="B498" s="26">
        <v>486</v>
      </c>
      <c r="C498" s="77"/>
      <c r="D498" s="69"/>
      <c r="E498" s="84"/>
      <c r="F498" s="93"/>
      <c r="G498" s="75"/>
      <c r="H498" s="106"/>
      <c r="I498" s="106"/>
      <c r="J498" s="106"/>
      <c r="K498" s="103"/>
      <c r="L498" s="107"/>
      <c r="M498" s="12" t="b">
        <f t="shared" si="8"/>
        <v>0</v>
      </c>
    </row>
    <row r="499" spans="2:13" ht="22.5">
      <c r="B499" s="26">
        <v>487</v>
      </c>
      <c r="C499" s="77"/>
      <c r="D499" s="69"/>
      <c r="E499" s="84"/>
      <c r="F499" s="93"/>
      <c r="G499" s="75"/>
      <c r="H499" s="106"/>
      <c r="I499" s="106"/>
      <c r="J499" s="106"/>
      <c r="K499" s="103"/>
      <c r="L499" s="107"/>
      <c r="M499" s="12" t="b">
        <f t="shared" si="8"/>
        <v>0</v>
      </c>
    </row>
    <row r="500" spans="2:13" ht="22.5">
      <c r="B500" s="26">
        <v>488</v>
      </c>
      <c r="C500" s="77"/>
      <c r="D500" s="69"/>
      <c r="E500" s="84"/>
      <c r="F500" s="93"/>
      <c r="G500" s="75"/>
      <c r="H500" s="106"/>
      <c r="I500" s="106"/>
      <c r="J500" s="106"/>
      <c r="K500" s="103"/>
      <c r="L500" s="107"/>
      <c r="M500" s="12" t="b">
        <f t="shared" si="8"/>
        <v>0</v>
      </c>
    </row>
    <row r="501" spans="2:13" ht="22.5">
      <c r="B501" s="26">
        <v>489</v>
      </c>
      <c r="C501" s="77"/>
      <c r="D501" s="69"/>
      <c r="E501" s="84"/>
      <c r="F501" s="93"/>
      <c r="G501" s="75"/>
      <c r="H501" s="106"/>
      <c r="I501" s="106"/>
      <c r="J501" s="106"/>
      <c r="K501" s="103"/>
      <c r="L501" s="107"/>
      <c r="M501" s="12" t="b">
        <f t="shared" si="8"/>
        <v>0</v>
      </c>
    </row>
    <row r="502" spans="2:13" ht="22.5">
      <c r="B502" s="26">
        <v>490</v>
      </c>
      <c r="C502" s="77"/>
      <c r="D502" s="69"/>
      <c r="E502" s="84"/>
      <c r="F502" s="93"/>
      <c r="G502" s="75"/>
      <c r="H502" s="106"/>
      <c r="I502" s="106"/>
      <c r="J502" s="106"/>
      <c r="K502" s="103"/>
      <c r="L502" s="107"/>
      <c r="M502" s="12" t="b">
        <f t="shared" si="8"/>
        <v>0</v>
      </c>
    </row>
    <row r="503" spans="2:13" ht="22.5">
      <c r="B503" s="26">
        <v>491</v>
      </c>
      <c r="C503" s="77"/>
      <c r="D503" s="69"/>
      <c r="E503" s="84"/>
      <c r="F503" s="93"/>
      <c r="G503" s="75"/>
      <c r="H503" s="106"/>
      <c r="I503" s="106"/>
      <c r="J503" s="106"/>
      <c r="K503" s="103"/>
      <c r="L503" s="107"/>
      <c r="M503" s="12" t="b">
        <f t="shared" si="8"/>
        <v>0</v>
      </c>
    </row>
    <row r="504" spans="2:13" ht="22.5">
      <c r="B504" s="26">
        <v>492</v>
      </c>
      <c r="C504" s="77"/>
      <c r="D504" s="69"/>
      <c r="E504" s="84"/>
      <c r="F504" s="93"/>
      <c r="G504" s="75"/>
      <c r="H504" s="106"/>
      <c r="I504" s="106"/>
      <c r="J504" s="106"/>
      <c r="K504" s="103"/>
      <c r="L504" s="107"/>
      <c r="M504" s="12" t="b">
        <f t="shared" si="8"/>
        <v>0</v>
      </c>
    </row>
    <row r="505" spans="2:13" ht="22.5">
      <c r="B505" s="26">
        <v>493</v>
      </c>
      <c r="C505" s="77"/>
      <c r="D505" s="69"/>
      <c r="E505" s="84"/>
      <c r="F505" s="93"/>
      <c r="G505" s="75"/>
      <c r="H505" s="106"/>
      <c r="I505" s="106"/>
      <c r="J505" s="106"/>
      <c r="K505" s="103"/>
      <c r="L505" s="107"/>
      <c r="M505" s="12" t="b">
        <f t="shared" si="8"/>
        <v>0</v>
      </c>
    </row>
    <row r="506" spans="2:13" ht="22.5">
      <c r="B506" s="26">
        <v>494</v>
      </c>
      <c r="C506" s="77"/>
      <c r="D506" s="69"/>
      <c r="E506" s="84"/>
      <c r="F506" s="93"/>
      <c r="G506" s="75"/>
      <c r="H506" s="106"/>
      <c r="I506" s="106"/>
      <c r="J506" s="106"/>
      <c r="K506" s="103"/>
      <c r="L506" s="107"/>
      <c r="M506" s="12" t="b">
        <f t="shared" si="8"/>
        <v>0</v>
      </c>
    </row>
    <row r="507" spans="2:13" ht="22.5">
      <c r="B507" s="26">
        <v>495</v>
      </c>
      <c r="C507" s="77"/>
      <c r="D507" s="69"/>
      <c r="E507" s="84"/>
      <c r="F507" s="93"/>
      <c r="G507" s="75"/>
      <c r="H507" s="106"/>
      <c r="I507" s="106"/>
      <c r="J507" s="106"/>
      <c r="K507" s="103"/>
      <c r="L507" s="107"/>
      <c r="M507" s="12" t="b">
        <f t="shared" si="8"/>
        <v>0</v>
      </c>
    </row>
    <row r="508" spans="2:13" ht="22.5">
      <c r="B508" s="26">
        <v>496</v>
      </c>
      <c r="C508" s="77"/>
      <c r="D508" s="69"/>
      <c r="E508" s="84"/>
      <c r="F508" s="93"/>
      <c r="G508" s="75"/>
      <c r="H508" s="106"/>
      <c r="I508" s="106"/>
      <c r="J508" s="106"/>
      <c r="K508" s="103"/>
      <c r="L508" s="107"/>
      <c r="M508" s="12" t="b">
        <f t="shared" si="8"/>
        <v>0</v>
      </c>
    </row>
    <row r="509" spans="2:13" ht="22.5">
      <c r="B509" s="26">
        <v>497</v>
      </c>
      <c r="C509" s="77"/>
      <c r="D509" s="69"/>
      <c r="E509" s="84"/>
      <c r="F509" s="93"/>
      <c r="G509" s="75"/>
      <c r="H509" s="106"/>
      <c r="I509" s="106"/>
      <c r="J509" s="106"/>
      <c r="K509" s="103"/>
      <c r="L509" s="107"/>
      <c r="M509" s="12" t="b">
        <f t="shared" si="8"/>
        <v>0</v>
      </c>
    </row>
    <row r="510" spans="2:13" ht="22.5">
      <c r="B510" s="26">
        <v>498</v>
      </c>
      <c r="C510" s="77"/>
      <c r="D510" s="69"/>
      <c r="E510" s="84"/>
      <c r="F510" s="93"/>
      <c r="G510" s="75"/>
      <c r="H510" s="106"/>
      <c r="I510" s="106"/>
      <c r="J510" s="106"/>
      <c r="K510" s="103"/>
      <c r="L510" s="107"/>
      <c r="M510" s="12" t="b">
        <f t="shared" si="8"/>
        <v>0</v>
      </c>
    </row>
    <row r="511" spans="2:13" ht="22.5">
      <c r="B511" s="26">
        <v>499</v>
      </c>
      <c r="C511" s="77"/>
      <c r="D511" s="69"/>
      <c r="E511" s="84"/>
      <c r="F511" s="93"/>
      <c r="G511" s="75"/>
      <c r="H511" s="106"/>
      <c r="I511" s="106"/>
      <c r="J511" s="106"/>
      <c r="K511" s="103"/>
      <c r="L511" s="107"/>
      <c r="M511" s="12" t="b">
        <f t="shared" si="8"/>
        <v>0</v>
      </c>
    </row>
    <row r="512" spans="2:13" ht="23.25" thickBot="1">
      <c r="B512" s="27">
        <v>500</v>
      </c>
      <c r="C512" s="78"/>
      <c r="D512" s="71"/>
      <c r="E512" s="87"/>
      <c r="F512" s="94"/>
      <c r="G512" s="76"/>
      <c r="H512" s="108"/>
      <c r="I512" s="108"/>
      <c r="J512" s="108"/>
      <c r="K512" s="109"/>
      <c r="L512" s="110"/>
      <c r="M512" s="12" t="b">
        <f t="shared" si="8"/>
        <v>0</v>
      </c>
    </row>
  </sheetData>
  <sheetProtection algorithmName="SHA-512" hashValue="BWLsoARv28FXCZ6RbZJ/sBJbu+mhZwXUtAzyWkMvG41i1hzIT52iAYdBZo8ON7PvGD+ayZlsDBRFaGI8sl0umg==" saltValue="Z8d6DnfNSoMx7+gCbYoGAQ==" spinCount="100000" sheet="1" objects="1" scenarios="1" selectLockedCells="1"/>
  <mergeCells count="7">
    <mergeCell ref="E2:Q2"/>
    <mergeCell ref="E4:Q4"/>
    <mergeCell ref="H8:I8"/>
    <mergeCell ref="K8:L8"/>
    <mergeCell ref="H9:I9"/>
    <mergeCell ref="B7:G7"/>
    <mergeCell ref="H7:L7"/>
  </mergeCells>
  <phoneticPr fontId="1"/>
  <conditionalFormatting sqref="G13:G512">
    <cfRule type="expression" dxfId="9" priority="5" stopIfTrue="1">
      <formula>ISNUMBER($D13)</formula>
    </cfRule>
  </conditionalFormatting>
  <conditionalFormatting sqref="H13:H512">
    <cfRule type="expression" dxfId="8" priority="6">
      <formula>AND($D13=1,$H13="")</formula>
    </cfRule>
  </conditionalFormatting>
  <conditionalFormatting sqref="H13:J512">
    <cfRule type="expression" dxfId="7" priority="4">
      <formula>$D13&lt;&gt;1</formula>
    </cfRule>
  </conditionalFormatting>
  <conditionalFormatting sqref="I13:I512">
    <cfRule type="expression" dxfId="6" priority="7">
      <formula>AND(($H13="既存コードに追加"),($I13=""))</formula>
    </cfRule>
    <cfRule type="expression" dxfId="5" priority="8">
      <formula>$H13="新規払い出し"</formula>
    </cfRule>
  </conditionalFormatting>
  <conditionalFormatting sqref="J13:J512">
    <cfRule type="expression" dxfId="4" priority="9">
      <formula>AND($D13=1,$J13="")</formula>
    </cfRule>
  </conditionalFormatting>
  <conditionalFormatting sqref="K13:K512">
    <cfRule type="expression" dxfId="3" priority="10">
      <formula>AND(($D13=2),($K13=""))</formula>
    </cfRule>
  </conditionalFormatting>
  <conditionalFormatting sqref="K13:L512">
    <cfRule type="expression" dxfId="2" priority="3">
      <formula>$D13&lt;&gt;2</formula>
    </cfRule>
  </conditionalFormatting>
  <conditionalFormatting sqref="L13:L512">
    <cfRule type="expression" dxfId="1" priority="11">
      <formula>AND(($K13="あり"),($L13=""))</formula>
    </cfRule>
    <cfRule type="expression" dxfId="0" priority="12">
      <formula>$K13="なし"</formula>
    </cfRule>
  </conditionalFormatting>
  <dataValidations count="8">
    <dataValidation type="textLength" imeMode="disabled" operator="equal" allowBlank="1" showInputMessage="1" showErrorMessage="1" error="会社コードは５桁で入力ください" sqref="I13:I512" xr:uid="{093016F2-A45F-4017-A37D-B73CC9767025}">
      <formula1>5</formula1>
    </dataValidation>
    <dataValidation imeMode="disabled" allowBlank="1" showInputMessage="1" showErrorMessage="1" sqref="L13:L512 E13:G512" xr:uid="{1A56B022-B27B-476F-A603-D0D3BB126D01}"/>
    <dataValidation type="list" allowBlank="1" showInputMessage="1" showErrorMessage="1" errorTitle="エラー" error="1,2,3のいずれかを選択ください" sqref="D15 D18" xr:uid="{95DCF21B-9A40-415E-BB91-1D152A671552}">
      <formula1>"1,2,3"</formula1>
    </dataValidation>
    <dataValidation type="list" allowBlank="1" showInputMessage="1" showErrorMessage="1" sqref="H10:H512" xr:uid="{54599BB3-6EFE-48E6-8AA8-819202069799}">
      <formula1>"新規払い出し,既存コードに追加"</formula1>
    </dataValidation>
    <dataValidation type="list" allowBlank="1" showInputMessage="1" showErrorMessage="1" sqref="C10:C512" xr:uid="{8BDBA92F-7CFB-46E5-8E4B-819660BC91A0}">
      <formula1>"追加,削除"</formula1>
    </dataValidation>
    <dataValidation type="list" allowBlank="1" showInputMessage="1" showErrorMessage="1" errorTitle="エラー" error="1,2,3から選択ください" sqref="D10:D14 D19:D512 D16:D17" xr:uid="{141072F4-86D4-45C2-84BB-4526E9F7BA18}">
      <formula1>"1,2,3"</formula1>
    </dataValidation>
    <dataValidation type="list" allowBlank="1" showInputMessage="1" showErrorMessage="1" sqref="K10:K512" xr:uid="{879F5753-CC3A-48AC-89B3-FC98206C35EB}">
      <formula1>"あり,なし"</formula1>
    </dataValidation>
    <dataValidation type="list" allowBlank="1" showInputMessage="1" showErrorMessage="1" sqref="J10:J512" xr:uid="{3D6AED5E-9E61-405B-9B36-54C9CCC05933}">
      <formula1>"希望する,希望しない"</formula1>
    </dataValidation>
  </dataValidations>
  <hyperlinks>
    <hyperlink ref="E5" r:id="rId1" xr:uid="{AB8F7F63-881C-4FAC-8DD4-2481DE2AFEFB}"/>
  </hyperlinks>
  <pageMargins left="0.7" right="0.7" top="0.75" bottom="0.75" header="0.3" footer="0.3"/>
  <pageSetup paperSize="9" scale="59" orientation="portrait" r:id="rId2"/>
  <drawing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19445-CE14-49D3-AE67-334C915A61A6}">
  <dimension ref="A1:Y512"/>
  <sheetViews>
    <sheetView topLeftCell="O1" zoomScale="110" zoomScaleNormal="110" workbookViewId="0">
      <selection activeCell="L10" sqref="L10"/>
    </sheetView>
  </sheetViews>
  <sheetFormatPr defaultRowHeight="13.5"/>
  <cols>
    <col min="1" max="1" width="25.375" customWidth="1"/>
    <col min="2" max="2" width="22.375" customWidth="1"/>
    <col min="3" max="3" width="24.875" customWidth="1"/>
    <col min="4" max="6" width="22.375" customWidth="1"/>
    <col min="7" max="7" width="24.375" bestFit="1" customWidth="1"/>
    <col min="8" max="8" width="28.25" bestFit="1" customWidth="1"/>
    <col min="9" max="9" width="30" bestFit="1" customWidth="1"/>
    <col min="10" max="10" width="32.875" customWidth="1"/>
    <col min="11" max="11" width="34.375" bestFit="1" customWidth="1"/>
    <col min="12" max="12" width="30.25" bestFit="1" customWidth="1"/>
    <col min="13" max="13" width="32.25" bestFit="1" customWidth="1"/>
    <col min="14" max="14" width="30.375" bestFit="1" customWidth="1"/>
    <col min="15" max="15" width="29.875" bestFit="1" customWidth="1"/>
    <col min="16" max="16" width="20.375" bestFit="1" customWidth="1"/>
    <col min="17" max="21" width="16.375" customWidth="1"/>
    <col min="22" max="22" width="30.75" bestFit="1" customWidth="1"/>
    <col min="24" max="24" width="31.625" bestFit="1" customWidth="1"/>
    <col min="25" max="25" width="17.625" bestFit="1" customWidth="1"/>
  </cols>
  <sheetData>
    <row r="1" spans="1:25" ht="14.25" thickBot="1">
      <c r="X1" t="s">
        <v>110</v>
      </c>
      <c r="Y1" s="132" t="str">
        <f>DBCS(SUBSTITUTE(SUBSTITUTE(TRIM(contractCustomerNameKana)," ","　"),CHAR(10),"　"))</f>
        <v/>
      </c>
    </row>
    <row r="2" spans="1:25">
      <c r="A2" t="s">
        <v>111</v>
      </c>
      <c r="B2" t="s">
        <v>112</v>
      </c>
      <c r="D2" t="s">
        <v>113</v>
      </c>
      <c r="O2" s="112" t="s">
        <v>114</v>
      </c>
      <c r="P2" s="113" t="s">
        <v>115</v>
      </c>
      <c r="X2" t="s">
        <v>116</v>
      </c>
      <c r="Y2" s="132" t="str">
        <f>DBCS(SUBSTITUTE(SUBSTITUTE(TRIM(billingStationDeptNameKana)," ","　"),CHAR(10),"　"))</f>
        <v/>
      </c>
    </row>
    <row r="3" spans="1:25" ht="14.25" thickBot="1">
      <c r="A3" t="s">
        <v>117</v>
      </c>
      <c r="B3" t="s">
        <v>118</v>
      </c>
      <c r="D3" t="s">
        <v>119</v>
      </c>
      <c r="O3" s="114"/>
      <c r="P3" s="115" t="str">
        <f>IF(billingStationCustomerNumberOnly="","","BS"&amp;billingStationCustomerNumberOnly)</f>
        <v/>
      </c>
      <c r="Q3" s="111"/>
      <c r="X3" t="s">
        <v>120</v>
      </c>
      <c r="Y3" s="132" t="str">
        <f>DBCS(SUBSTITUTE(SUBSTITUTE(TRIM(billingStationPersonKana)," ","　"),CHAR(10),"　"))</f>
        <v/>
      </c>
    </row>
    <row r="4" spans="1:25">
      <c r="A4" s="9">
        <f>formVersion</f>
        <v>2.2999999999999998</v>
      </c>
      <c r="B4" s="9" t="s">
        <v>121</v>
      </c>
      <c r="D4" t="s">
        <v>122</v>
      </c>
    </row>
    <row r="6" spans="1:25" ht="76.150000000000006" customHeight="1">
      <c r="B6" s="7" t="s">
        <v>123</v>
      </c>
      <c r="C6" s="7" t="s">
        <v>124</v>
      </c>
      <c r="D6" s="7" t="s">
        <v>125</v>
      </c>
      <c r="E6" s="7" t="s">
        <v>126</v>
      </c>
      <c r="F6" s="7" t="s">
        <v>127</v>
      </c>
      <c r="G6" s="7" t="s">
        <v>128</v>
      </c>
      <c r="H6" s="7" t="s">
        <v>129</v>
      </c>
      <c r="I6" s="7" t="s">
        <v>130</v>
      </c>
      <c r="J6" s="7" t="s">
        <v>131</v>
      </c>
      <c r="K6" s="7" t="s">
        <v>132</v>
      </c>
      <c r="L6" s="7" t="s">
        <v>133</v>
      </c>
      <c r="M6" s="7" t="s">
        <v>134</v>
      </c>
      <c r="N6" s="7" t="s">
        <v>135</v>
      </c>
      <c r="O6" s="7" t="s">
        <v>136</v>
      </c>
      <c r="P6" s="7" t="s">
        <v>137</v>
      </c>
      <c r="Q6" s="7" t="s">
        <v>138</v>
      </c>
      <c r="R6" s="7" t="s">
        <v>139</v>
      </c>
      <c r="S6" s="7" t="s">
        <v>140</v>
      </c>
      <c r="T6" s="7" t="s">
        <v>141</v>
      </c>
      <c r="U6" s="7" t="s">
        <v>141</v>
      </c>
      <c r="V6" s="7" t="s">
        <v>141</v>
      </c>
      <c r="W6" s="7" t="s">
        <v>141</v>
      </c>
      <c r="X6" s="7" t="s">
        <v>141</v>
      </c>
      <c r="Y6" s="7" t="s">
        <v>142</v>
      </c>
    </row>
    <row r="7" spans="1:25" s="3" customFormat="1" ht="40.5">
      <c r="A7" t="s">
        <v>122</v>
      </c>
      <c r="B7" s="2" t="s">
        <v>143</v>
      </c>
      <c r="C7" s="1" t="s">
        <v>144</v>
      </c>
      <c r="D7" s="2" t="s">
        <v>145</v>
      </c>
      <c r="E7" s="2" t="s">
        <v>146</v>
      </c>
      <c r="F7" s="1" t="s">
        <v>147</v>
      </c>
      <c r="G7" s="1" t="s">
        <v>148</v>
      </c>
      <c r="H7" s="1" t="s">
        <v>149</v>
      </c>
      <c r="I7" s="2" t="s">
        <v>150</v>
      </c>
      <c r="J7" s="1" t="s">
        <v>151</v>
      </c>
      <c r="K7" s="2" t="s">
        <v>152</v>
      </c>
      <c r="L7" s="1" t="s">
        <v>153</v>
      </c>
      <c r="M7" s="2" t="s">
        <v>154</v>
      </c>
      <c r="N7" s="1" t="s">
        <v>155</v>
      </c>
      <c r="O7" s="2" t="s">
        <v>156</v>
      </c>
      <c r="P7" s="116" t="s">
        <v>157</v>
      </c>
      <c r="Q7" s="116" t="s">
        <v>158</v>
      </c>
      <c r="R7" s="2" t="s">
        <v>159</v>
      </c>
      <c r="S7" s="117" t="s">
        <v>160</v>
      </c>
      <c r="T7" s="2" t="s">
        <v>161</v>
      </c>
      <c r="U7" s="2" t="s">
        <v>162</v>
      </c>
      <c r="V7" s="2" t="s">
        <v>163</v>
      </c>
      <c r="W7" s="2" t="s">
        <v>164</v>
      </c>
      <c r="X7" s="2" t="s">
        <v>165</v>
      </c>
    </row>
    <row r="8" spans="1:25" ht="26.45" customHeight="1">
      <c r="A8" s="4" t="s">
        <v>166</v>
      </c>
      <c r="B8" s="5" t="s">
        <v>167</v>
      </c>
      <c r="C8" s="4" t="s">
        <v>168</v>
      </c>
      <c r="D8" s="5" t="s">
        <v>169</v>
      </c>
      <c r="E8" s="5" t="s">
        <v>170</v>
      </c>
      <c r="F8" s="4" t="s">
        <v>171</v>
      </c>
      <c r="G8" s="4" t="s">
        <v>172</v>
      </c>
      <c r="H8" s="4" t="s">
        <v>173</v>
      </c>
      <c r="I8" s="5" t="s">
        <v>174</v>
      </c>
      <c r="J8" s="4" t="s">
        <v>116</v>
      </c>
      <c r="K8" s="5" t="s">
        <v>175</v>
      </c>
      <c r="L8" s="4" t="s">
        <v>120</v>
      </c>
      <c r="M8" s="5" t="s">
        <v>176</v>
      </c>
      <c r="N8" s="5" t="s">
        <v>177</v>
      </c>
      <c r="O8" s="5" t="s">
        <v>178</v>
      </c>
      <c r="P8" s="6" t="s">
        <v>179</v>
      </c>
      <c r="Q8" s="6" t="s">
        <v>180</v>
      </c>
      <c r="R8" s="4" t="s">
        <v>181</v>
      </c>
      <c r="S8" s="4" t="s">
        <v>182</v>
      </c>
      <c r="T8" s="5" t="s">
        <v>183</v>
      </c>
      <c r="U8" s="4" t="s">
        <v>184</v>
      </c>
      <c r="V8" s="5" t="s">
        <v>185</v>
      </c>
      <c r="W8" s="4" t="s">
        <v>186</v>
      </c>
      <c r="X8" s="4" t="s">
        <v>187</v>
      </c>
      <c r="Y8" s="4" t="s">
        <v>188</v>
      </c>
    </row>
    <row r="9" spans="1:25" s="7" customFormat="1" ht="74.45" customHeight="1">
      <c r="A9" s="118" t="s">
        <v>189</v>
      </c>
      <c r="B9" s="119" t="str">
        <f>ASC(IF(applicationArrivalDate="","",applicationArrivalDate))</f>
        <v/>
      </c>
      <c r="C9" s="118" t="str" cm="1">
        <f t="array" aca="1" ref="C9" ca="1">IF(SUMPRODUCT(--ISNUMBER(FIND(MID(Y1, ROW(INDIRECT("1:" &amp; LEN(Y1))),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～")))=LEN(Y1), Y1, 1/0)</f>
        <v/>
      </c>
      <c r="D9" s="120" t="str">
        <f>DBCS(SUBSTITUTE(SUBSTITUTE(TRIM(contractCustomerName)," ","　"),CHAR(10),"　"))</f>
        <v/>
      </c>
      <c r="E9" s="120">
        <f>IF(meigiHenkou="✓",1,0)</f>
        <v>0</v>
      </c>
      <c r="F9" s="118" t="str">
        <f>ASC(SUBSTITUTE(contractCustomerPostalNumber,"-",""))</f>
        <v/>
      </c>
      <c r="G9" s="118" t="str">
        <f>DBCS(SUBSTITUTE(SUBSTITUTE(TRIM(contractCustomerAddress)," ","　"),CHAR(10),"　"))</f>
        <v/>
      </c>
      <c r="H9" s="118" t="str">
        <f>DBCS(SUBSTITUTE(SUBSTITUTE(TRIM(contractCustomerAddress2)," ","　"),CHAR(10),"　"))</f>
        <v/>
      </c>
      <c r="I9" s="120" t="str">
        <f>ASC(SUBSTITUTE(billingStationPhoneNumber,"-",""))</f>
        <v/>
      </c>
      <c r="J9" s="118" t="str" cm="1">
        <f t="array" aca="1" ref="J9" ca="1">IF(SUMPRODUCT(--ISNUMBER(FIND(MID(Y2, ROW(INDIRECT("1:" &amp; LEN(Y2))),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～")))=LEN(Y2), Y2, 1/0)</f>
        <v/>
      </c>
      <c r="K9" s="120" t="str">
        <f>DBCS(SUBSTITUTE(SUBSTITUTE(TRIM(billingStationDeptName)," ","　"),CHAR(10),"　"))</f>
        <v/>
      </c>
      <c r="L9" s="118" t="str" cm="1">
        <f t="array" aca="1" ref="L9" ca="1">IF(SUMPRODUCT(--ISNUMBER(FIND(MID(Y3, ROW(INDIRECT("1:" &amp; LEN(Y3))),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～")))=LEN(Y3), Y3, 1/0)</f>
        <v/>
      </c>
      <c r="M9" s="120" t="str">
        <f>DBCS(SUBSTITUTE(SUBSTITUTE(TRIM(billingStationPerson)," ","　"),CHAR(10),"　"))</f>
        <v/>
      </c>
      <c r="N9" s="120"/>
      <c r="O9" s="120"/>
      <c r="P9" s="120"/>
      <c r="Q9" s="120" t="str">
        <f>IF(billingStationUseDataByNumber="","csv",billingStationUseDataByNumber)</f>
        <v>csv</v>
      </c>
      <c r="R9" s="118" t="str">
        <f>ASC(billingStationCustomerNumber)</f>
        <v/>
      </c>
      <c r="S9" s="118" t="str">
        <f>IF(billingStationPlan="","スタンダード",billingStationPlan)</f>
        <v>スタンダード</v>
      </c>
      <c r="T9" s="120" t="str">
        <f>comment&amp;""</f>
        <v/>
      </c>
      <c r="U9" s="118" t="str">
        <f>salesChannelDeptName&amp;""</f>
        <v/>
      </c>
      <c r="V9" s="120" t="str">
        <f>salesChannelPersonName&amp;""</f>
        <v/>
      </c>
      <c r="W9" s="118" t="str">
        <f>salesChannelPhoneNumber&amp;""</f>
        <v/>
      </c>
      <c r="X9" s="121" t="str">
        <f>salesChannelMailAddress&amp;""</f>
        <v/>
      </c>
      <c r="Y9" s="121" cm="1">
        <f t="array" aca="1" ref="Y9" ca="1">SUMPRODUCT(ISERROR(変更申込書[[#This Row],[ファイル名]:[販売担当者　メールアドレス]])*1)</f>
        <v>0</v>
      </c>
    </row>
    <row r="10" spans="1:25">
      <c r="O10" s="10"/>
      <c r="P10" s="10"/>
    </row>
    <row r="11" spans="1:25" s="7" customFormat="1" ht="31.15" customHeight="1">
      <c r="A11" s="7" t="s">
        <v>190</v>
      </c>
      <c r="B11" s="7" t="s">
        <v>191</v>
      </c>
      <c r="E11" s="7" t="s">
        <v>192</v>
      </c>
      <c r="F11" s="7" t="s">
        <v>193</v>
      </c>
      <c r="G11" s="7" t="s">
        <v>194</v>
      </c>
      <c r="H11" s="7" t="s">
        <v>191</v>
      </c>
      <c r="L11" s="7" t="s">
        <v>195</v>
      </c>
    </row>
    <row r="12" spans="1:25">
      <c r="A12" t="s">
        <v>49</v>
      </c>
      <c r="B12" t="s">
        <v>196</v>
      </c>
      <c r="C12" t="s">
        <v>197</v>
      </c>
      <c r="D12" t="s">
        <v>198</v>
      </c>
      <c r="E12" t="s">
        <v>199</v>
      </c>
      <c r="F12" t="s">
        <v>200</v>
      </c>
      <c r="G12" t="s">
        <v>201</v>
      </c>
      <c r="H12" t="s">
        <v>202</v>
      </c>
      <c r="I12" t="s">
        <v>203</v>
      </c>
      <c r="J12" t="s">
        <v>204</v>
      </c>
      <c r="K12" t="s">
        <v>205</v>
      </c>
      <c r="L12" t="s">
        <v>206</v>
      </c>
    </row>
    <row r="13" spans="1:25">
      <c r="A13">
        <v>1</v>
      </c>
      <c r="B13" t="str">
        <f>IF(moushikubun001="","追加",moushikubun001)</f>
        <v>追加</v>
      </c>
      <c r="C13" t="str">
        <f>shubetsu001&amp;""</f>
        <v/>
      </c>
      <c r="D13" t="str">
        <f>billid001&amp;""</f>
        <v/>
      </c>
      <c r="E13" t="str">
        <f>UPPER(SUBSTITUTE(番明[[#This Row],[ご請求番号]],"-",""))</f>
        <v/>
      </c>
      <c r="F13" t="str">
        <f>keiyakuid001&amp;""</f>
        <v/>
      </c>
      <c r="G13">
        <f>IF(companyyn001="既存コードに追加",1,0)</f>
        <v>0</v>
      </c>
      <c r="H13" t="str">
        <f>companycode001&amp;""</f>
        <v/>
      </c>
      <c r="I13" t="str">
        <f>IF(accelikkatsu001="","希望しない",accelikkatsu001)</f>
        <v>希望しない</v>
      </c>
      <c r="J13" t="str">
        <f>IF(belugabunyn001="","なし",belugabunyn001)</f>
        <v>なし</v>
      </c>
      <c r="K13" t="str">
        <f>belugabun001&amp;""</f>
        <v/>
      </c>
      <c r="L13" t="b">
        <f>shutoku001</f>
        <v>0</v>
      </c>
    </row>
    <row r="14" spans="1:25">
      <c r="A14">
        <v>2</v>
      </c>
      <c r="B14" t="str">
        <f>IF(moushikubun002="","追加",moushikubun002)</f>
        <v>追加</v>
      </c>
      <c r="C14" t="str">
        <f>shubetsu002&amp;""</f>
        <v/>
      </c>
      <c r="D14" t="str">
        <f>billid002&amp;""</f>
        <v/>
      </c>
      <c r="E14" t="str">
        <f>UPPER(SUBSTITUTE(番明[[#This Row],[ご請求番号]],"-",""))</f>
        <v/>
      </c>
      <c r="F14" t="str">
        <f>keiyakuid002&amp;""</f>
        <v/>
      </c>
      <c r="G14">
        <f>IF(companyyn002="既存コードに追加",1,0)</f>
        <v>0</v>
      </c>
      <c r="H14" t="str">
        <f>companycode002&amp;""</f>
        <v/>
      </c>
      <c r="I14" t="str">
        <f>IF(accelikkatsu002="","希望しない",accelikkatsu002)</f>
        <v>希望しない</v>
      </c>
      <c r="J14" t="str">
        <f>IF(belugabunyn002="","なし",belugabunyn002)</f>
        <v>なし</v>
      </c>
      <c r="K14" t="str">
        <f>belugabun002&amp;""</f>
        <v/>
      </c>
      <c r="L14" t="b">
        <f>shutoku002</f>
        <v>0</v>
      </c>
    </row>
    <row r="15" spans="1:25">
      <c r="A15">
        <v>3</v>
      </c>
      <c r="B15" t="str">
        <f>IF(moushikubun003="","追加",moushikubun003)</f>
        <v>追加</v>
      </c>
      <c r="C15" t="str">
        <f>shubetsu003&amp;""</f>
        <v/>
      </c>
      <c r="D15" t="str">
        <f>billid003&amp;""</f>
        <v/>
      </c>
      <c r="E15" t="str">
        <f>UPPER(SUBSTITUTE(番明[[#This Row],[ご請求番号]],"-",""))</f>
        <v/>
      </c>
      <c r="F15" t="str">
        <f>keiyakuid003&amp;""</f>
        <v/>
      </c>
      <c r="G15">
        <f>IF(companyyn003="既存コードに追加",1,0)</f>
        <v>0</v>
      </c>
      <c r="H15" t="str">
        <f>companycode003&amp;""</f>
        <v/>
      </c>
      <c r="I15" t="str">
        <f>IF(accelikkatsu003="","希望しない",accelikkatsu003)</f>
        <v>希望しない</v>
      </c>
      <c r="J15" t="str">
        <f>IF(belugabunyn003="","なし",belugabunyn003)</f>
        <v>なし</v>
      </c>
      <c r="K15" t="str">
        <f>belugabun003&amp;""</f>
        <v/>
      </c>
      <c r="L15" t="b">
        <f>shutoku003</f>
        <v>0</v>
      </c>
    </row>
    <row r="16" spans="1:25">
      <c r="A16">
        <v>4</v>
      </c>
      <c r="B16" t="str">
        <f>IF(moushikubun004="","追加",moushikubun004)</f>
        <v>追加</v>
      </c>
      <c r="C16" t="str">
        <f>shubetsu004&amp;""</f>
        <v/>
      </c>
      <c r="D16" t="str">
        <f>billid004&amp;""</f>
        <v/>
      </c>
      <c r="E16" t="str">
        <f>UPPER(SUBSTITUTE(番明[[#This Row],[ご請求番号]],"-",""))</f>
        <v/>
      </c>
      <c r="F16" t="str">
        <f>keiyakuid004&amp;""</f>
        <v/>
      </c>
      <c r="G16">
        <f>IF(companyyn004="既存コードに追加",1,0)</f>
        <v>0</v>
      </c>
      <c r="H16" t="str">
        <f>companycode004&amp;""</f>
        <v/>
      </c>
      <c r="I16" t="str">
        <f>IF(accelikkatsu004="","希望しない",accelikkatsu004)</f>
        <v>希望しない</v>
      </c>
      <c r="J16" t="str">
        <f>IF(belugabunyn004="","なし",belugabunyn004)</f>
        <v>なし</v>
      </c>
      <c r="K16" t="str">
        <f>belugabun004&amp;""</f>
        <v/>
      </c>
      <c r="L16" t="b">
        <f>shutoku004</f>
        <v>0</v>
      </c>
    </row>
    <row r="17" spans="1:12">
      <c r="A17">
        <v>5</v>
      </c>
      <c r="B17" t="str">
        <f>IF(moushikubun005="","追加",moushikubun005)</f>
        <v>追加</v>
      </c>
      <c r="C17" t="str">
        <f>shubetsu005&amp;""</f>
        <v/>
      </c>
      <c r="D17" t="str">
        <f>billid005&amp;""</f>
        <v/>
      </c>
      <c r="E17" t="str">
        <f>UPPER(SUBSTITUTE(番明[[#This Row],[ご請求番号]],"-",""))</f>
        <v/>
      </c>
      <c r="F17" t="str">
        <f>keiyakuid005&amp;""</f>
        <v/>
      </c>
      <c r="G17">
        <f>IF(companyyn005="既存コードに追加",1,0)</f>
        <v>0</v>
      </c>
      <c r="H17" t="str">
        <f>companycode005&amp;""</f>
        <v/>
      </c>
      <c r="I17" t="str">
        <f>IF(accelikkatsu005="","希望しない",accelikkatsu005)</f>
        <v>希望しない</v>
      </c>
      <c r="J17" t="str">
        <f>IF(belugabunyn005="","なし",belugabunyn005)</f>
        <v>なし</v>
      </c>
      <c r="K17" t="str">
        <f>belugabun005&amp;""</f>
        <v/>
      </c>
      <c r="L17" t="b">
        <f>shutoku005</f>
        <v>0</v>
      </c>
    </row>
    <row r="18" spans="1:12">
      <c r="A18">
        <v>6</v>
      </c>
      <c r="B18" t="str">
        <f>IF(moushikubun006="","追加",moushikubun006)</f>
        <v>追加</v>
      </c>
      <c r="C18" t="str">
        <f>shubetsu006&amp;""</f>
        <v/>
      </c>
      <c r="D18" t="str">
        <f>billid006&amp;""</f>
        <v/>
      </c>
      <c r="E18" t="str">
        <f>UPPER(SUBSTITUTE(番明[[#This Row],[ご請求番号]],"-",""))</f>
        <v/>
      </c>
      <c r="F18" t="str">
        <f>keiyakuid006&amp;""</f>
        <v/>
      </c>
      <c r="G18">
        <f>IF(companyyn006="既存コードに追加",1,0)</f>
        <v>0</v>
      </c>
      <c r="H18" t="str">
        <f>companycode006&amp;""</f>
        <v/>
      </c>
      <c r="I18" t="str">
        <f>IF(accelikkatsu006="","希望しない",accelikkatsu006)</f>
        <v>希望しない</v>
      </c>
      <c r="J18" t="str">
        <f>IF(belugabunyn006="","なし",belugabunyn006)</f>
        <v>なし</v>
      </c>
      <c r="K18" t="str">
        <f>belugabun006&amp;""</f>
        <v/>
      </c>
      <c r="L18" t="b">
        <f>shutoku006</f>
        <v>0</v>
      </c>
    </row>
    <row r="19" spans="1:12">
      <c r="A19">
        <v>7</v>
      </c>
      <c r="B19" t="str">
        <f>IF(moushikubun007="","追加",moushikubun007)</f>
        <v>追加</v>
      </c>
      <c r="C19" t="str">
        <f>shubetsu007&amp;""</f>
        <v/>
      </c>
      <c r="D19" t="str">
        <f>billid007&amp;""</f>
        <v/>
      </c>
      <c r="E19" t="str">
        <f>UPPER(SUBSTITUTE(番明[[#This Row],[ご請求番号]],"-",""))</f>
        <v/>
      </c>
      <c r="F19" t="str">
        <f>keiyakuid007&amp;""</f>
        <v/>
      </c>
      <c r="G19">
        <f>IF(companyyn007="既存コードに追加",1,0)</f>
        <v>0</v>
      </c>
      <c r="H19" t="str">
        <f>companycode007&amp;""</f>
        <v/>
      </c>
      <c r="I19" t="str">
        <f>IF(accelikkatsu007="","希望しない",accelikkatsu007)</f>
        <v>希望しない</v>
      </c>
      <c r="J19" t="str">
        <f>IF(belugabunyn007="","なし",belugabunyn007)</f>
        <v>なし</v>
      </c>
      <c r="K19" t="str">
        <f>belugabun007&amp;""</f>
        <v/>
      </c>
      <c r="L19" t="b">
        <f>shutoku007</f>
        <v>0</v>
      </c>
    </row>
    <row r="20" spans="1:12">
      <c r="A20">
        <v>8</v>
      </c>
      <c r="B20" t="str">
        <f>IF(moushikubun008="","追加",moushikubun008)</f>
        <v>追加</v>
      </c>
      <c r="C20" t="str">
        <f>shubetsu008&amp;""</f>
        <v/>
      </c>
      <c r="D20" t="str">
        <f>billid008&amp;""</f>
        <v/>
      </c>
      <c r="E20" t="str">
        <f>UPPER(SUBSTITUTE(番明[[#This Row],[ご請求番号]],"-",""))</f>
        <v/>
      </c>
      <c r="F20" t="str">
        <f>keiyakuid008&amp;""</f>
        <v/>
      </c>
      <c r="G20">
        <f>IF(companyyn008="既存コードに追加",1,0)</f>
        <v>0</v>
      </c>
      <c r="H20" t="str">
        <f>companycode008&amp;""</f>
        <v/>
      </c>
      <c r="I20" t="str">
        <f>IF(accelikkatsu008="","希望しない",accelikkatsu008)</f>
        <v>希望しない</v>
      </c>
      <c r="J20" t="str">
        <f>IF(belugabunyn008="","なし",belugabunyn008)</f>
        <v>なし</v>
      </c>
      <c r="K20" t="str">
        <f>belugabun008&amp;""</f>
        <v/>
      </c>
      <c r="L20" t="b">
        <f>shutoku008</f>
        <v>0</v>
      </c>
    </row>
    <row r="21" spans="1:12">
      <c r="A21">
        <v>9</v>
      </c>
      <c r="B21" t="str">
        <f>IF(moushikubun009="","追加",moushikubun009)</f>
        <v>追加</v>
      </c>
      <c r="C21" t="str">
        <f>shubetsu009&amp;""</f>
        <v/>
      </c>
      <c r="D21" t="str">
        <f>billid009&amp;""</f>
        <v/>
      </c>
      <c r="E21" t="str">
        <f>UPPER(SUBSTITUTE(番明[[#This Row],[ご請求番号]],"-",""))</f>
        <v/>
      </c>
      <c r="F21" t="str">
        <f>keiyakuid009&amp;""</f>
        <v/>
      </c>
      <c r="G21">
        <f>IF(companyyn009="既存コードに追加",1,0)</f>
        <v>0</v>
      </c>
      <c r="H21" t="str">
        <f>companycode009&amp;""</f>
        <v/>
      </c>
      <c r="I21" t="str">
        <f>IF(accelikkatsu009="","希望しない",accelikkatsu009)</f>
        <v>希望しない</v>
      </c>
      <c r="J21" t="str">
        <f>IF(belugabunyn009="","なし",belugabunyn009)</f>
        <v>なし</v>
      </c>
      <c r="K21" t="str">
        <f>belugabun009&amp;""</f>
        <v/>
      </c>
      <c r="L21" t="b">
        <f>shutoku009</f>
        <v>0</v>
      </c>
    </row>
    <row r="22" spans="1:12">
      <c r="A22">
        <v>10</v>
      </c>
      <c r="B22" t="str">
        <f>IF(moushikubun010="","追加",moushikubun010)</f>
        <v>追加</v>
      </c>
      <c r="C22" t="str">
        <f>shubetsu010&amp;""</f>
        <v/>
      </c>
      <c r="D22" t="str">
        <f>billid010&amp;""</f>
        <v/>
      </c>
      <c r="E22" t="str">
        <f>UPPER(SUBSTITUTE(番明[[#This Row],[ご請求番号]],"-",""))</f>
        <v/>
      </c>
      <c r="F22" t="str">
        <f>keiyakuid010&amp;""</f>
        <v/>
      </c>
      <c r="G22">
        <f>IF(companyyn010="既存コードに追加",1,0)</f>
        <v>0</v>
      </c>
      <c r="H22" t="str">
        <f>companycode010&amp;""</f>
        <v/>
      </c>
      <c r="I22" t="str">
        <f>IF(accelikkatsu010="","希望しない",accelikkatsu010)</f>
        <v>希望しない</v>
      </c>
      <c r="J22" t="str">
        <f>IF(belugabunyn010="","なし",belugabunyn010)</f>
        <v>なし</v>
      </c>
      <c r="K22" t="str">
        <f>belugabun010&amp;""</f>
        <v/>
      </c>
      <c r="L22" t="b">
        <f>shutoku010</f>
        <v>0</v>
      </c>
    </row>
    <row r="23" spans="1:12">
      <c r="A23">
        <v>11</v>
      </c>
      <c r="B23" t="str">
        <f>IF(moushikubun011="","追加",moushikubun011)</f>
        <v>追加</v>
      </c>
      <c r="C23" t="str">
        <f>shubetsu011&amp;""</f>
        <v/>
      </c>
      <c r="D23" t="str">
        <f>billid011&amp;""</f>
        <v/>
      </c>
      <c r="E23" t="str">
        <f>UPPER(SUBSTITUTE(番明[[#This Row],[ご請求番号]],"-",""))</f>
        <v/>
      </c>
      <c r="F23" t="str">
        <f>keiyakuid011&amp;""</f>
        <v/>
      </c>
      <c r="G23">
        <f>IF(companyyn011="既存コードに追加",1,0)</f>
        <v>0</v>
      </c>
      <c r="H23" t="str">
        <f>companycode011&amp;""</f>
        <v/>
      </c>
      <c r="I23" t="str">
        <f>IF(accelikkatsu011="","希望しない",accelikkatsu011)</f>
        <v>希望しない</v>
      </c>
      <c r="J23" t="str">
        <f>IF(belugabunyn011="","なし",belugabunyn011)</f>
        <v>なし</v>
      </c>
      <c r="K23" t="str">
        <f>belugabun011&amp;""</f>
        <v/>
      </c>
      <c r="L23" t="b">
        <f>shutoku011</f>
        <v>0</v>
      </c>
    </row>
    <row r="24" spans="1:12">
      <c r="A24">
        <v>12</v>
      </c>
      <c r="B24" t="str">
        <f>IF(moushikubun012="","追加",moushikubun012)</f>
        <v>追加</v>
      </c>
      <c r="C24" t="str">
        <f>shubetsu012&amp;""</f>
        <v/>
      </c>
      <c r="D24" t="str">
        <f>billid012&amp;""</f>
        <v/>
      </c>
      <c r="E24" t="str">
        <f>UPPER(SUBSTITUTE(番明[[#This Row],[ご請求番号]],"-",""))</f>
        <v/>
      </c>
      <c r="F24" t="str">
        <f>keiyakuid012&amp;""</f>
        <v/>
      </c>
      <c r="G24">
        <f>IF(companyyn012="既存コードに追加",1,0)</f>
        <v>0</v>
      </c>
      <c r="H24" t="str">
        <f>companycode012&amp;""</f>
        <v/>
      </c>
      <c r="I24" t="str">
        <f>IF(accelikkatsu012="","希望しない",accelikkatsu012)</f>
        <v>希望しない</v>
      </c>
      <c r="J24" t="str">
        <f>IF(belugabunyn012="","なし",belugabunyn012)</f>
        <v>なし</v>
      </c>
      <c r="K24" t="str">
        <f>belugabun012&amp;""</f>
        <v/>
      </c>
      <c r="L24" t="b">
        <f>shutoku012</f>
        <v>0</v>
      </c>
    </row>
    <row r="25" spans="1:12">
      <c r="A25">
        <v>13</v>
      </c>
      <c r="B25" t="str">
        <f>IF(moushikubun013="","追加",moushikubun013)</f>
        <v>追加</v>
      </c>
      <c r="C25" t="str">
        <f>shubetsu013&amp;""</f>
        <v/>
      </c>
      <c r="D25" t="str">
        <f>billid013&amp;""</f>
        <v/>
      </c>
      <c r="E25" t="str">
        <f>UPPER(SUBSTITUTE(番明[[#This Row],[ご請求番号]],"-",""))</f>
        <v/>
      </c>
      <c r="F25" t="str">
        <f>keiyakuid013&amp;""</f>
        <v/>
      </c>
      <c r="G25">
        <f>IF(companyyn013="既存コードに追加",1,0)</f>
        <v>0</v>
      </c>
      <c r="H25" t="str">
        <f>companycode013&amp;""</f>
        <v/>
      </c>
      <c r="I25" t="str">
        <f>IF(accelikkatsu013="","希望しない",accelikkatsu013)</f>
        <v>希望しない</v>
      </c>
      <c r="J25" t="str">
        <f>IF(belugabunyn013="","なし",belugabunyn013)</f>
        <v>なし</v>
      </c>
      <c r="K25" t="str">
        <f>belugabun013&amp;""</f>
        <v/>
      </c>
      <c r="L25" t="b">
        <f>shutoku013</f>
        <v>0</v>
      </c>
    </row>
    <row r="26" spans="1:12">
      <c r="A26">
        <v>14</v>
      </c>
      <c r="B26" t="str">
        <f>IF(moushikubun014="","追加",moushikubun014)</f>
        <v>追加</v>
      </c>
      <c r="C26" t="str">
        <f>shubetsu014&amp;""</f>
        <v/>
      </c>
      <c r="D26" t="str">
        <f>billid014&amp;""</f>
        <v/>
      </c>
      <c r="E26" t="str">
        <f>UPPER(SUBSTITUTE(番明[[#This Row],[ご請求番号]],"-",""))</f>
        <v/>
      </c>
      <c r="F26" t="str">
        <f>keiyakuid014&amp;""</f>
        <v/>
      </c>
      <c r="G26">
        <f>IF(companyyn014="既存コードに追加",1,0)</f>
        <v>0</v>
      </c>
      <c r="H26" t="str">
        <f>companycode014&amp;""</f>
        <v/>
      </c>
      <c r="I26" t="str">
        <f>IF(accelikkatsu014="","希望しない",accelikkatsu014)</f>
        <v>希望しない</v>
      </c>
      <c r="J26" t="str">
        <f>IF(belugabunyn014="","なし",belugabunyn014)</f>
        <v>なし</v>
      </c>
      <c r="K26" t="str">
        <f>belugabun014&amp;""</f>
        <v/>
      </c>
      <c r="L26" t="b">
        <f>shutoku014</f>
        <v>0</v>
      </c>
    </row>
    <row r="27" spans="1:12">
      <c r="A27">
        <v>15</v>
      </c>
      <c r="B27" t="str">
        <f>IF(moushikubun015="","追加",moushikubun015)</f>
        <v>追加</v>
      </c>
      <c r="C27" t="str">
        <f>shubetsu015&amp;""</f>
        <v/>
      </c>
      <c r="D27" t="str">
        <f>billid015&amp;""</f>
        <v/>
      </c>
      <c r="E27" t="str">
        <f>UPPER(SUBSTITUTE(番明[[#This Row],[ご請求番号]],"-",""))</f>
        <v/>
      </c>
      <c r="F27" t="str">
        <f>keiyakuid015&amp;""</f>
        <v/>
      </c>
      <c r="G27">
        <f>IF(companyyn015="既存コードに追加",1,0)</f>
        <v>0</v>
      </c>
      <c r="H27" t="str">
        <f>companycode015&amp;""</f>
        <v/>
      </c>
      <c r="I27" t="str">
        <f>IF(accelikkatsu015="","希望しない",accelikkatsu015)</f>
        <v>希望しない</v>
      </c>
      <c r="J27" t="str">
        <f>IF(belugabunyn015="","なし",belugabunyn015)</f>
        <v>なし</v>
      </c>
      <c r="K27" t="str">
        <f>belugabun015&amp;""</f>
        <v/>
      </c>
      <c r="L27" t="b">
        <f>shutoku015</f>
        <v>0</v>
      </c>
    </row>
    <row r="28" spans="1:12">
      <c r="A28">
        <v>16</v>
      </c>
      <c r="B28" t="str">
        <f>IF(moushikubun016="","追加",moushikubun016)</f>
        <v>追加</v>
      </c>
      <c r="C28" t="str">
        <f>shubetsu016&amp;""</f>
        <v/>
      </c>
      <c r="D28" t="str">
        <f>billid016&amp;""</f>
        <v/>
      </c>
      <c r="E28" t="str">
        <f>UPPER(SUBSTITUTE(番明[[#This Row],[ご請求番号]],"-",""))</f>
        <v/>
      </c>
      <c r="F28" t="str">
        <f>keiyakuid016&amp;""</f>
        <v/>
      </c>
      <c r="G28">
        <f>IF(companyyn016="既存コードに追加",1,0)</f>
        <v>0</v>
      </c>
      <c r="H28" t="str">
        <f>companycode016&amp;""</f>
        <v/>
      </c>
      <c r="I28" t="str">
        <f>IF(accelikkatsu016="","希望しない",accelikkatsu016)</f>
        <v>希望しない</v>
      </c>
      <c r="J28" t="str">
        <f>IF(belugabunyn016="","なし",belugabunyn016)</f>
        <v>なし</v>
      </c>
      <c r="K28" t="str">
        <f>belugabun016&amp;""</f>
        <v/>
      </c>
      <c r="L28" t="b">
        <f>shutoku016</f>
        <v>0</v>
      </c>
    </row>
    <row r="29" spans="1:12">
      <c r="A29">
        <v>17</v>
      </c>
      <c r="B29" t="str">
        <f>IF(moushikubun017="","追加",moushikubun017)</f>
        <v>追加</v>
      </c>
      <c r="C29" t="str">
        <f>shubetsu017&amp;""</f>
        <v/>
      </c>
      <c r="D29" t="str">
        <f>billid017&amp;""</f>
        <v/>
      </c>
      <c r="E29" t="str">
        <f>UPPER(SUBSTITUTE(番明[[#This Row],[ご請求番号]],"-",""))</f>
        <v/>
      </c>
      <c r="F29" t="str">
        <f>keiyakuid017&amp;""</f>
        <v/>
      </c>
      <c r="G29">
        <f>IF(companyyn017="既存コードに追加",1,0)</f>
        <v>0</v>
      </c>
      <c r="H29" t="str">
        <f>companycode017&amp;""</f>
        <v/>
      </c>
      <c r="I29" t="str">
        <f>IF(accelikkatsu017="","希望しない",accelikkatsu017)</f>
        <v>希望しない</v>
      </c>
      <c r="J29" t="str">
        <f>IF(belugabunyn017="","なし",belugabunyn017)</f>
        <v>なし</v>
      </c>
      <c r="K29" t="str">
        <f>belugabun017&amp;""</f>
        <v/>
      </c>
      <c r="L29" t="b">
        <f>shutoku017</f>
        <v>0</v>
      </c>
    </row>
    <row r="30" spans="1:12">
      <c r="A30">
        <v>18</v>
      </c>
      <c r="B30" t="str">
        <f>IF(moushikubun018="","追加",moushikubun018)</f>
        <v>追加</v>
      </c>
      <c r="C30" t="str">
        <f>shubetsu018&amp;""</f>
        <v/>
      </c>
      <c r="D30" t="str">
        <f>billid018&amp;""</f>
        <v/>
      </c>
      <c r="E30" t="str">
        <f>UPPER(SUBSTITUTE(番明[[#This Row],[ご請求番号]],"-",""))</f>
        <v/>
      </c>
      <c r="F30" t="str">
        <f>keiyakuid018&amp;""</f>
        <v/>
      </c>
      <c r="G30">
        <f>IF(companyyn018="既存コードに追加",1,0)</f>
        <v>0</v>
      </c>
      <c r="H30" t="str">
        <f>companycode018&amp;""</f>
        <v/>
      </c>
      <c r="I30" t="str">
        <f>IF(accelikkatsu018="","希望しない",accelikkatsu018)</f>
        <v>希望しない</v>
      </c>
      <c r="J30" t="str">
        <f>IF(belugabunyn018="","なし",belugabunyn018)</f>
        <v>なし</v>
      </c>
      <c r="K30" t="str">
        <f>belugabun018&amp;""</f>
        <v/>
      </c>
      <c r="L30" t="b">
        <f>shutoku018</f>
        <v>0</v>
      </c>
    </row>
    <row r="31" spans="1:12">
      <c r="A31">
        <v>19</v>
      </c>
      <c r="B31" t="str">
        <f>IF(moushikubun019="","追加",moushikubun019)</f>
        <v>追加</v>
      </c>
      <c r="C31" t="str">
        <f>shubetsu019&amp;""</f>
        <v/>
      </c>
      <c r="D31" t="str">
        <f>billid019&amp;""</f>
        <v/>
      </c>
      <c r="E31" t="str">
        <f>UPPER(SUBSTITUTE(番明[[#This Row],[ご請求番号]],"-",""))</f>
        <v/>
      </c>
      <c r="F31" t="str">
        <f>keiyakuid019&amp;""</f>
        <v/>
      </c>
      <c r="G31">
        <f>IF(companyyn019="既存コードに追加",1,0)</f>
        <v>0</v>
      </c>
      <c r="H31" t="str">
        <f>companycode019&amp;""</f>
        <v/>
      </c>
      <c r="I31" t="str">
        <f>IF(accelikkatsu019="","希望しない",accelikkatsu019)</f>
        <v>希望しない</v>
      </c>
      <c r="J31" t="str">
        <f>IF(belugabunyn019="","なし",belugabunyn019)</f>
        <v>なし</v>
      </c>
      <c r="K31" t="str">
        <f>belugabun019&amp;""</f>
        <v/>
      </c>
      <c r="L31" t="b">
        <f>shutoku019</f>
        <v>0</v>
      </c>
    </row>
    <row r="32" spans="1:12">
      <c r="A32">
        <v>20</v>
      </c>
      <c r="B32" t="str">
        <f>IF(moushikubun020="","追加",moushikubun020)</f>
        <v>追加</v>
      </c>
      <c r="C32" t="str">
        <f>shubetsu020&amp;""</f>
        <v/>
      </c>
      <c r="D32" t="str">
        <f>billid020&amp;""</f>
        <v/>
      </c>
      <c r="E32" t="str">
        <f>UPPER(SUBSTITUTE(番明[[#This Row],[ご請求番号]],"-",""))</f>
        <v/>
      </c>
      <c r="F32" t="str">
        <f>keiyakuid020&amp;""</f>
        <v/>
      </c>
      <c r="G32">
        <f>IF(companyyn020="既存コードに追加",1,0)</f>
        <v>0</v>
      </c>
      <c r="H32" t="str">
        <f>companycode020&amp;""</f>
        <v/>
      </c>
      <c r="I32" t="str">
        <f>IF(accelikkatsu020="","希望しない",accelikkatsu020)</f>
        <v>希望しない</v>
      </c>
      <c r="J32" t="str">
        <f>IF(belugabunyn020="","なし",belugabunyn020)</f>
        <v>なし</v>
      </c>
      <c r="K32" t="str">
        <f>belugabun020&amp;""</f>
        <v/>
      </c>
      <c r="L32" t="b">
        <f>shutoku020</f>
        <v>0</v>
      </c>
    </row>
    <row r="33" spans="1:12">
      <c r="A33">
        <v>21</v>
      </c>
      <c r="B33" t="str">
        <f>IF(moushikubun021="","追加",moushikubun021)</f>
        <v>追加</v>
      </c>
      <c r="C33" t="str">
        <f>shubetsu021&amp;""</f>
        <v/>
      </c>
      <c r="D33" t="str">
        <f>billid021&amp;""</f>
        <v/>
      </c>
      <c r="E33" t="str">
        <f>UPPER(SUBSTITUTE(番明[[#This Row],[ご請求番号]],"-",""))</f>
        <v/>
      </c>
      <c r="F33" t="str">
        <f>keiyakuid021&amp;""</f>
        <v/>
      </c>
      <c r="G33">
        <f>IF(companyyn021="既存コードに追加",1,0)</f>
        <v>0</v>
      </c>
      <c r="H33" t="str">
        <f>companycode021&amp;""</f>
        <v/>
      </c>
      <c r="I33" t="str">
        <f>IF(accelikkatsu021="","希望しない",accelikkatsu021)</f>
        <v>希望しない</v>
      </c>
      <c r="J33" t="str">
        <f>IF(belugabunyn021="","なし",belugabunyn021)</f>
        <v>なし</v>
      </c>
      <c r="K33" t="str">
        <f>belugabun021&amp;""</f>
        <v/>
      </c>
      <c r="L33" t="b">
        <f>shutoku021</f>
        <v>0</v>
      </c>
    </row>
    <row r="34" spans="1:12">
      <c r="A34">
        <v>22</v>
      </c>
      <c r="B34" t="str">
        <f>IF(moushikubun022="","追加",moushikubun022)</f>
        <v>追加</v>
      </c>
      <c r="C34" t="str">
        <f>shubetsu022&amp;""</f>
        <v/>
      </c>
      <c r="D34" t="str">
        <f>billid022&amp;""</f>
        <v/>
      </c>
      <c r="E34" t="str">
        <f>UPPER(SUBSTITUTE(番明[[#This Row],[ご請求番号]],"-",""))</f>
        <v/>
      </c>
      <c r="F34" t="str">
        <f>keiyakuid022&amp;""</f>
        <v/>
      </c>
      <c r="G34">
        <f>IF(companyyn022="既存コードに追加",1,0)</f>
        <v>0</v>
      </c>
      <c r="H34" t="str">
        <f>companycode022&amp;""</f>
        <v/>
      </c>
      <c r="I34" t="str">
        <f>IF(accelikkatsu022="","希望しない",accelikkatsu022)</f>
        <v>希望しない</v>
      </c>
      <c r="J34" t="str">
        <f>IF(belugabunyn022="","なし",belugabunyn022)</f>
        <v>なし</v>
      </c>
      <c r="K34" t="str">
        <f>belugabun022&amp;""</f>
        <v/>
      </c>
      <c r="L34" t="b">
        <f>shutoku022</f>
        <v>0</v>
      </c>
    </row>
    <row r="35" spans="1:12">
      <c r="A35">
        <v>23</v>
      </c>
      <c r="B35" t="str">
        <f>IF(moushikubun023="","追加",moushikubun023)</f>
        <v>追加</v>
      </c>
      <c r="C35" t="str">
        <f>shubetsu023&amp;""</f>
        <v/>
      </c>
      <c r="D35" t="str">
        <f>billid023&amp;""</f>
        <v/>
      </c>
      <c r="E35" t="str">
        <f>UPPER(SUBSTITUTE(番明[[#This Row],[ご請求番号]],"-",""))</f>
        <v/>
      </c>
      <c r="F35" t="str">
        <f>keiyakuid023&amp;""</f>
        <v/>
      </c>
      <c r="G35">
        <f>IF(companyyn023="既存コードに追加",1,0)</f>
        <v>0</v>
      </c>
      <c r="H35" t="str">
        <f>companycode023&amp;""</f>
        <v/>
      </c>
      <c r="I35" t="str">
        <f>IF(accelikkatsu023="","希望しない",accelikkatsu023)</f>
        <v>希望しない</v>
      </c>
      <c r="J35" t="str">
        <f>IF(belugabunyn023="","なし",belugabunyn023)</f>
        <v>なし</v>
      </c>
      <c r="K35" t="str">
        <f>belugabun023&amp;""</f>
        <v/>
      </c>
      <c r="L35" t="b">
        <f>shutoku023</f>
        <v>0</v>
      </c>
    </row>
    <row r="36" spans="1:12">
      <c r="A36">
        <v>24</v>
      </c>
      <c r="B36" t="str">
        <f>IF(moushikubun024="","追加",moushikubun024)</f>
        <v>追加</v>
      </c>
      <c r="C36" t="str">
        <f>shubetsu024&amp;""</f>
        <v/>
      </c>
      <c r="D36" t="str">
        <f>billid024&amp;""</f>
        <v/>
      </c>
      <c r="E36" t="str">
        <f>UPPER(SUBSTITUTE(番明[[#This Row],[ご請求番号]],"-",""))</f>
        <v/>
      </c>
      <c r="F36" t="str">
        <f>keiyakuid024&amp;""</f>
        <v/>
      </c>
      <c r="G36">
        <f>IF(companyyn024="既存コードに追加",1,0)</f>
        <v>0</v>
      </c>
      <c r="H36" t="str">
        <f>companycode024&amp;""</f>
        <v/>
      </c>
      <c r="I36" t="str">
        <f>IF(accelikkatsu024="","希望しない",accelikkatsu024)</f>
        <v>希望しない</v>
      </c>
      <c r="J36" t="str">
        <f>IF(belugabunyn024="","なし",belugabunyn024)</f>
        <v>なし</v>
      </c>
      <c r="K36" t="str">
        <f>belugabun024&amp;""</f>
        <v/>
      </c>
      <c r="L36" t="b">
        <f>shutoku024</f>
        <v>0</v>
      </c>
    </row>
    <row r="37" spans="1:12">
      <c r="A37">
        <v>25</v>
      </c>
      <c r="B37" t="str">
        <f>IF(moushikubun025="","追加",moushikubun025)</f>
        <v>追加</v>
      </c>
      <c r="C37" t="str">
        <f>shubetsu025&amp;""</f>
        <v/>
      </c>
      <c r="D37" t="str">
        <f>billid025&amp;""</f>
        <v/>
      </c>
      <c r="E37" t="str">
        <f>UPPER(SUBSTITUTE(番明[[#This Row],[ご請求番号]],"-",""))</f>
        <v/>
      </c>
      <c r="F37" t="str">
        <f>keiyakuid025&amp;""</f>
        <v/>
      </c>
      <c r="G37">
        <f>IF(companyyn025="既存コードに追加",1,0)</f>
        <v>0</v>
      </c>
      <c r="H37" t="str">
        <f>companycode025&amp;""</f>
        <v/>
      </c>
      <c r="I37" t="str">
        <f>IF(accelikkatsu025="","希望しない",accelikkatsu025)</f>
        <v>希望しない</v>
      </c>
      <c r="J37" t="str">
        <f>IF(belugabunyn025="","なし",belugabunyn025)</f>
        <v>なし</v>
      </c>
      <c r="K37" t="str">
        <f>belugabun025&amp;""</f>
        <v/>
      </c>
      <c r="L37" t="b">
        <f>shutoku025</f>
        <v>0</v>
      </c>
    </row>
    <row r="38" spans="1:12">
      <c r="A38">
        <v>26</v>
      </c>
      <c r="B38" t="str">
        <f>IF(moushikubun026="","追加",moushikubun026)</f>
        <v>追加</v>
      </c>
      <c r="C38" t="str">
        <f>shubetsu026&amp;""</f>
        <v/>
      </c>
      <c r="D38" t="str">
        <f>billid026&amp;""</f>
        <v/>
      </c>
      <c r="E38" t="str">
        <f>UPPER(SUBSTITUTE(番明[[#This Row],[ご請求番号]],"-",""))</f>
        <v/>
      </c>
      <c r="F38" t="str">
        <f>keiyakuid026&amp;""</f>
        <v/>
      </c>
      <c r="G38">
        <f>IF(companyyn026="既存コードに追加",1,0)</f>
        <v>0</v>
      </c>
      <c r="H38" t="str">
        <f>companycode026&amp;""</f>
        <v/>
      </c>
      <c r="I38" t="str">
        <f>IF(accelikkatsu026="","希望しない",accelikkatsu026)</f>
        <v>希望しない</v>
      </c>
      <c r="J38" t="str">
        <f>IF(belugabunyn026="","なし",belugabunyn026)</f>
        <v>なし</v>
      </c>
      <c r="K38" t="str">
        <f>belugabun026&amp;""</f>
        <v/>
      </c>
      <c r="L38" t="b">
        <f>shutoku026</f>
        <v>0</v>
      </c>
    </row>
    <row r="39" spans="1:12">
      <c r="A39">
        <v>27</v>
      </c>
      <c r="B39" t="str">
        <f>IF(moushikubun027="","追加",moushikubun027)</f>
        <v>追加</v>
      </c>
      <c r="C39" t="str">
        <f>shubetsu027&amp;""</f>
        <v/>
      </c>
      <c r="D39" t="str">
        <f>billid027&amp;""</f>
        <v/>
      </c>
      <c r="E39" t="str">
        <f>UPPER(SUBSTITUTE(番明[[#This Row],[ご請求番号]],"-",""))</f>
        <v/>
      </c>
      <c r="F39" t="str">
        <f>keiyakuid027&amp;""</f>
        <v/>
      </c>
      <c r="G39">
        <f>IF(companyyn027="既存コードに追加",1,0)</f>
        <v>0</v>
      </c>
      <c r="H39" t="str">
        <f>companycode027&amp;""</f>
        <v/>
      </c>
      <c r="I39" t="str">
        <f>IF(accelikkatsu027="","希望しない",accelikkatsu027)</f>
        <v>希望しない</v>
      </c>
      <c r="J39" t="str">
        <f>IF(belugabunyn027="","なし",belugabunyn027)</f>
        <v>なし</v>
      </c>
      <c r="K39" t="str">
        <f>belugabun027&amp;""</f>
        <v/>
      </c>
      <c r="L39" t="b">
        <f>shutoku027</f>
        <v>0</v>
      </c>
    </row>
    <row r="40" spans="1:12">
      <c r="A40">
        <v>28</v>
      </c>
      <c r="B40" t="str">
        <f>IF(moushikubun028="","追加",moushikubun028)</f>
        <v>追加</v>
      </c>
      <c r="C40" t="str">
        <f>shubetsu028&amp;""</f>
        <v/>
      </c>
      <c r="D40" t="str">
        <f>billid028&amp;""</f>
        <v/>
      </c>
      <c r="E40" t="str">
        <f>UPPER(SUBSTITUTE(番明[[#This Row],[ご請求番号]],"-",""))</f>
        <v/>
      </c>
      <c r="F40" t="str">
        <f>keiyakuid028&amp;""</f>
        <v/>
      </c>
      <c r="G40">
        <f>IF(companyyn028="既存コードに追加",1,0)</f>
        <v>0</v>
      </c>
      <c r="H40" t="str">
        <f>companycode028&amp;""</f>
        <v/>
      </c>
      <c r="I40" t="str">
        <f>IF(accelikkatsu028="","希望しない",accelikkatsu028)</f>
        <v>希望しない</v>
      </c>
      <c r="J40" t="str">
        <f>IF(belugabunyn028="","なし",belugabunyn028)</f>
        <v>なし</v>
      </c>
      <c r="K40" t="str">
        <f>belugabun028&amp;""</f>
        <v/>
      </c>
      <c r="L40" t="b">
        <f>shutoku028</f>
        <v>0</v>
      </c>
    </row>
    <row r="41" spans="1:12">
      <c r="A41">
        <v>29</v>
      </c>
      <c r="B41" t="str">
        <f>IF(moushikubun029="","追加",moushikubun029)</f>
        <v>追加</v>
      </c>
      <c r="C41" t="str">
        <f>shubetsu029&amp;""</f>
        <v/>
      </c>
      <c r="D41" t="str">
        <f>billid029&amp;""</f>
        <v/>
      </c>
      <c r="E41" t="str">
        <f>UPPER(SUBSTITUTE(番明[[#This Row],[ご請求番号]],"-",""))</f>
        <v/>
      </c>
      <c r="F41" t="str">
        <f>keiyakuid029&amp;""</f>
        <v/>
      </c>
      <c r="G41">
        <f>IF(companyyn029="既存コードに追加",1,0)</f>
        <v>0</v>
      </c>
      <c r="H41" t="str">
        <f>companycode029&amp;""</f>
        <v/>
      </c>
      <c r="I41" t="str">
        <f>IF(accelikkatsu029="","希望しない",accelikkatsu029)</f>
        <v>希望しない</v>
      </c>
      <c r="J41" t="str">
        <f>IF(belugabunyn029="","なし",belugabunyn029)</f>
        <v>なし</v>
      </c>
      <c r="K41" t="str">
        <f>belugabun029&amp;""</f>
        <v/>
      </c>
      <c r="L41" t="b">
        <f>shutoku029</f>
        <v>0</v>
      </c>
    </row>
    <row r="42" spans="1:12">
      <c r="A42">
        <v>30</v>
      </c>
      <c r="B42" t="str">
        <f>IF(moushikubun030="","追加",moushikubun030)</f>
        <v>追加</v>
      </c>
      <c r="C42" t="str">
        <f>shubetsu030&amp;""</f>
        <v/>
      </c>
      <c r="D42" t="str">
        <f>billid030&amp;""</f>
        <v/>
      </c>
      <c r="E42" t="str">
        <f>UPPER(SUBSTITUTE(番明[[#This Row],[ご請求番号]],"-",""))</f>
        <v/>
      </c>
      <c r="F42" t="str">
        <f>keiyakuid030&amp;""</f>
        <v/>
      </c>
      <c r="G42">
        <f>IF(companyyn030="既存コードに追加",1,0)</f>
        <v>0</v>
      </c>
      <c r="H42" t="str">
        <f>companycode030&amp;""</f>
        <v/>
      </c>
      <c r="I42" t="str">
        <f>IF(accelikkatsu030="","希望しない",accelikkatsu030)</f>
        <v>希望しない</v>
      </c>
      <c r="J42" t="str">
        <f>IF(belugabunyn030="","なし",belugabunyn030)</f>
        <v>なし</v>
      </c>
      <c r="K42" t="str">
        <f>belugabun030&amp;""</f>
        <v/>
      </c>
      <c r="L42" t="b">
        <f>shutoku030</f>
        <v>0</v>
      </c>
    </row>
    <row r="43" spans="1:12">
      <c r="A43">
        <v>31</v>
      </c>
      <c r="B43" t="str">
        <f>IF(moushikubun031="","追加",moushikubun031)</f>
        <v>追加</v>
      </c>
      <c r="C43" t="str">
        <f>shubetsu031&amp;""</f>
        <v/>
      </c>
      <c r="D43" t="str">
        <f>billid031&amp;""</f>
        <v/>
      </c>
      <c r="E43" t="str">
        <f>UPPER(SUBSTITUTE(番明[[#This Row],[ご請求番号]],"-",""))</f>
        <v/>
      </c>
      <c r="F43" t="str">
        <f>keiyakuid031&amp;""</f>
        <v/>
      </c>
      <c r="G43">
        <f>IF(companyyn031="既存コードに追加",1,0)</f>
        <v>0</v>
      </c>
      <c r="H43" t="str">
        <f>companycode031&amp;""</f>
        <v/>
      </c>
      <c r="I43" t="str">
        <f>IF(accelikkatsu031="","希望しない",accelikkatsu031)</f>
        <v>希望しない</v>
      </c>
      <c r="J43" t="str">
        <f>IF(belugabunyn031="","なし",belugabunyn031)</f>
        <v>なし</v>
      </c>
      <c r="K43" t="str">
        <f>belugabun031&amp;""</f>
        <v/>
      </c>
      <c r="L43" t="b">
        <f>shutoku031</f>
        <v>0</v>
      </c>
    </row>
    <row r="44" spans="1:12">
      <c r="A44">
        <v>32</v>
      </c>
      <c r="B44" t="str">
        <f>IF(moushikubun032="","追加",moushikubun032)</f>
        <v>追加</v>
      </c>
      <c r="C44" t="str">
        <f>shubetsu032&amp;""</f>
        <v/>
      </c>
      <c r="D44" t="str">
        <f>billid032&amp;""</f>
        <v/>
      </c>
      <c r="E44" t="str">
        <f>UPPER(SUBSTITUTE(番明[[#This Row],[ご請求番号]],"-",""))</f>
        <v/>
      </c>
      <c r="F44" t="str">
        <f>keiyakuid032&amp;""</f>
        <v/>
      </c>
      <c r="G44">
        <f>IF(companyyn032="既存コードに追加",1,0)</f>
        <v>0</v>
      </c>
      <c r="H44" t="str">
        <f>companycode032&amp;""</f>
        <v/>
      </c>
      <c r="I44" t="str">
        <f>IF(accelikkatsu032="","希望しない",accelikkatsu032)</f>
        <v>希望しない</v>
      </c>
      <c r="J44" t="str">
        <f>IF(belugabunyn032="","なし",belugabunyn032)</f>
        <v>なし</v>
      </c>
      <c r="K44" t="str">
        <f>belugabun032&amp;""</f>
        <v/>
      </c>
      <c r="L44" t="b">
        <f>shutoku032</f>
        <v>0</v>
      </c>
    </row>
    <row r="45" spans="1:12">
      <c r="A45">
        <v>33</v>
      </c>
      <c r="B45" t="str">
        <f>IF(moushikubun033="","追加",moushikubun033)</f>
        <v>追加</v>
      </c>
      <c r="C45" t="str">
        <f>shubetsu033&amp;""</f>
        <v/>
      </c>
      <c r="D45" t="str">
        <f>billid033&amp;""</f>
        <v/>
      </c>
      <c r="E45" t="str">
        <f>UPPER(SUBSTITUTE(番明[[#This Row],[ご請求番号]],"-",""))</f>
        <v/>
      </c>
      <c r="F45" t="str">
        <f>keiyakuid033&amp;""</f>
        <v/>
      </c>
      <c r="G45">
        <f>IF(companyyn033="既存コードに追加",1,0)</f>
        <v>0</v>
      </c>
      <c r="H45" t="str">
        <f>companycode033&amp;""</f>
        <v/>
      </c>
      <c r="I45" t="str">
        <f>IF(accelikkatsu033="","希望しない",accelikkatsu033)</f>
        <v>希望しない</v>
      </c>
      <c r="J45" t="str">
        <f>IF(belugabunyn033="","なし",belugabunyn033)</f>
        <v>なし</v>
      </c>
      <c r="K45" t="str">
        <f>belugabun033&amp;""</f>
        <v/>
      </c>
      <c r="L45" t="b">
        <f>shutoku033</f>
        <v>0</v>
      </c>
    </row>
    <row r="46" spans="1:12">
      <c r="A46">
        <v>34</v>
      </c>
      <c r="B46" t="str">
        <f>IF(moushikubun034="","追加",moushikubun034)</f>
        <v>追加</v>
      </c>
      <c r="C46" t="str">
        <f>shubetsu034&amp;""</f>
        <v/>
      </c>
      <c r="D46" t="str">
        <f>billid034&amp;""</f>
        <v/>
      </c>
      <c r="E46" t="str">
        <f>UPPER(SUBSTITUTE(番明[[#This Row],[ご請求番号]],"-",""))</f>
        <v/>
      </c>
      <c r="F46" t="str">
        <f>keiyakuid034&amp;""</f>
        <v/>
      </c>
      <c r="G46">
        <f>IF(companyyn034="既存コードに追加",1,0)</f>
        <v>0</v>
      </c>
      <c r="H46" t="str">
        <f>companycode034&amp;""</f>
        <v/>
      </c>
      <c r="I46" t="str">
        <f>IF(accelikkatsu034="","希望しない",accelikkatsu034)</f>
        <v>希望しない</v>
      </c>
      <c r="J46" t="str">
        <f>IF(belugabunyn034="","なし",belugabunyn034)</f>
        <v>なし</v>
      </c>
      <c r="K46" t="str">
        <f>belugabun034&amp;""</f>
        <v/>
      </c>
      <c r="L46" t="b">
        <f>shutoku034</f>
        <v>0</v>
      </c>
    </row>
    <row r="47" spans="1:12">
      <c r="A47">
        <v>35</v>
      </c>
      <c r="B47" t="str">
        <f>IF(moushikubun035="","追加",moushikubun035)</f>
        <v>追加</v>
      </c>
      <c r="C47" t="str">
        <f>shubetsu035&amp;""</f>
        <v/>
      </c>
      <c r="D47" t="str">
        <f>billid035&amp;""</f>
        <v/>
      </c>
      <c r="E47" t="str">
        <f>UPPER(SUBSTITUTE(番明[[#This Row],[ご請求番号]],"-",""))</f>
        <v/>
      </c>
      <c r="F47" t="str">
        <f>keiyakuid035&amp;""</f>
        <v/>
      </c>
      <c r="G47">
        <f>IF(companyyn035="既存コードに追加",1,0)</f>
        <v>0</v>
      </c>
      <c r="H47" t="str">
        <f>companycode035&amp;""</f>
        <v/>
      </c>
      <c r="I47" t="str">
        <f>IF(accelikkatsu035="","希望しない",accelikkatsu035)</f>
        <v>希望しない</v>
      </c>
      <c r="J47" t="str">
        <f>IF(belugabunyn035="","なし",belugabunyn035)</f>
        <v>なし</v>
      </c>
      <c r="K47" t="str">
        <f>belugabun035&amp;""</f>
        <v/>
      </c>
      <c r="L47" t="b">
        <f>shutoku035</f>
        <v>0</v>
      </c>
    </row>
    <row r="48" spans="1:12">
      <c r="A48">
        <v>36</v>
      </c>
      <c r="B48" t="str">
        <f>IF(moushikubun036="","追加",moushikubun036)</f>
        <v>追加</v>
      </c>
      <c r="C48" t="str">
        <f>shubetsu036&amp;""</f>
        <v/>
      </c>
      <c r="D48" t="str">
        <f>billid036&amp;""</f>
        <v/>
      </c>
      <c r="E48" t="str">
        <f>UPPER(SUBSTITUTE(番明[[#This Row],[ご請求番号]],"-",""))</f>
        <v/>
      </c>
      <c r="F48" t="str">
        <f>keiyakuid036&amp;""</f>
        <v/>
      </c>
      <c r="G48">
        <f>IF(companyyn036="既存コードに追加",1,0)</f>
        <v>0</v>
      </c>
      <c r="H48" t="str">
        <f>companycode036&amp;""</f>
        <v/>
      </c>
      <c r="I48" t="str">
        <f>IF(accelikkatsu036="","希望しない",accelikkatsu036)</f>
        <v>希望しない</v>
      </c>
      <c r="J48" t="str">
        <f>IF(belugabunyn036="","なし",belugabunyn036)</f>
        <v>なし</v>
      </c>
      <c r="K48" t="str">
        <f>belugabun036&amp;""</f>
        <v/>
      </c>
      <c r="L48" t="b">
        <f>shutoku036</f>
        <v>0</v>
      </c>
    </row>
    <row r="49" spans="1:12">
      <c r="A49">
        <v>37</v>
      </c>
      <c r="B49" t="str">
        <f>IF(moushikubun037="","追加",moushikubun037)</f>
        <v>追加</v>
      </c>
      <c r="C49" t="str">
        <f>shubetsu037&amp;""</f>
        <v/>
      </c>
      <c r="D49" t="str">
        <f>billid037&amp;""</f>
        <v/>
      </c>
      <c r="E49" t="str">
        <f>UPPER(SUBSTITUTE(番明[[#This Row],[ご請求番号]],"-",""))</f>
        <v/>
      </c>
      <c r="F49" t="str">
        <f>keiyakuid037&amp;""</f>
        <v/>
      </c>
      <c r="G49">
        <f>IF(companyyn037="既存コードに追加",1,0)</f>
        <v>0</v>
      </c>
      <c r="H49" t="str">
        <f>companycode037&amp;""</f>
        <v/>
      </c>
      <c r="I49" t="str">
        <f>IF(accelikkatsu037="","希望しない",accelikkatsu037)</f>
        <v>希望しない</v>
      </c>
      <c r="J49" t="str">
        <f>IF(belugabunyn037="","なし",belugabunyn037)</f>
        <v>なし</v>
      </c>
      <c r="K49" t="str">
        <f>belugabun037&amp;""</f>
        <v/>
      </c>
      <c r="L49" t="b">
        <f>shutoku037</f>
        <v>0</v>
      </c>
    </row>
    <row r="50" spans="1:12">
      <c r="A50">
        <v>38</v>
      </c>
      <c r="B50" t="str">
        <f>IF(moushikubun038="","追加",moushikubun038)</f>
        <v>追加</v>
      </c>
      <c r="C50" t="str">
        <f>shubetsu038&amp;""</f>
        <v/>
      </c>
      <c r="D50" t="str">
        <f>billid038&amp;""</f>
        <v/>
      </c>
      <c r="E50" t="str">
        <f>UPPER(SUBSTITUTE(番明[[#This Row],[ご請求番号]],"-",""))</f>
        <v/>
      </c>
      <c r="F50" t="str">
        <f>keiyakuid038&amp;""</f>
        <v/>
      </c>
      <c r="G50">
        <f>IF(companyyn038="既存コードに追加",1,0)</f>
        <v>0</v>
      </c>
      <c r="H50" t="str">
        <f>companycode038&amp;""</f>
        <v/>
      </c>
      <c r="I50" t="str">
        <f>IF(accelikkatsu038="","希望しない",accelikkatsu038)</f>
        <v>希望しない</v>
      </c>
      <c r="J50" t="str">
        <f>IF(belugabunyn038="","なし",belugabunyn038)</f>
        <v>なし</v>
      </c>
      <c r="K50" t="str">
        <f>belugabun038&amp;""</f>
        <v/>
      </c>
      <c r="L50" t="b">
        <f>shutoku038</f>
        <v>0</v>
      </c>
    </row>
    <row r="51" spans="1:12">
      <c r="A51">
        <v>39</v>
      </c>
      <c r="B51" t="str">
        <f>IF(moushikubun039="","追加",moushikubun039)</f>
        <v>追加</v>
      </c>
      <c r="C51" t="str">
        <f>shubetsu039&amp;""</f>
        <v/>
      </c>
      <c r="D51" t="str">
        <f>billid039&amp;""</f>
        <v/>
      </c>
      <c r="E51" t="str">
        <f>UPPER(SUBSTITUTE(番明[[#This Row],[ご請求番号]],"-",""))</f>
        <v/>
      </c>
      <c r="F51" t="str">
        <f>keiyakuid039&amp;""</f>
        <v/>
      </c>
      <c r="G51">
        <f>IF(companyyn039="既存コードに追加",1,0)</f>
        <v>0</v>
      </c>
      <c r="H51" t="str">
        <f>companycode039&amp;""</f>
        <v/>
      </c>
      <c r="I51" t="str">
        <f>IF(accelikkatsu039="","希望しない",accelikkatsu039)</f>
        <v>希望しない</v>
      </c>
      <c r="J51" t="str">
        <f>IF(belugabunyn039="","なし",belugabunyn039)</f>
        <v>なし</v>
      </c>
      <c r="K51" t="str">
        <f>belugabun039&amp;""</f>
        <v/>
      </c>
      <c r="L51" t="b">
        <f>shutoku039</f>
        <v>0</v>
      </c>
    </row>
    <row r="52" spans="1:12">
      <c r="A52">
        <v>40</v>
      </c>
      <c r="B52" t="str">
        <f>IF(moushikubun040="","追加",moushikubun040)</f>
        <v>追加</v>
      </c>
      <c r="C52" t="str">
        <f>shubetsu040&amp;""</f>
        <v/>
      </c>
      <c r="D52" t="str">
        <f>billid040&amp;""</f>
        <v/>
      </c>
      <c r="E52" t="str">
        <f>UPPER(SUBSTITUTE(番明[[#This Row],[ご請求番号]],"-",""))</f>
        <v/>
      </c>
      <c r="F52" t="str">
        <f>keiyakuid040&amp;""</f>
        <v/>
      </c>
      <c r="G52">
        <f>IF(companyyn040="既存コードに追加",1,0)</f>
        <v>0</v>
      </c>
      <c r="H52" t="str">
        <f>companycode040&amp;""</f>
        <v/>
      </c>
      <c r="I52" t="str">
        <f>IF(accelikkatsu040="","希望しない",accelikkatsu040)</f>
        <v>希望しない</v>
      </c>
      <c r="J52" t="str">
        <f>IF(belugabunyn040="","なし",belugabunyn040)</f>
        <v>なし</v>
      </c>
      <c r="K52" t="str">
        <f>belugabun040&amp;""</f>
        <v/>
      </c>
      <c r="L52" t="b">
        <f>shutoku040</f>
        <v>0</v>
      </c>
    </row>
    <row r="53" spans="1:12">
      <c r="A53">
        <v>41</v>
      </c>
      <c r="B53" t="str">
        <f>IF(moushikubun041="","追加",moushikubun041)</f>
        <v>追加</v>
      </c>
      <c r="C53" t="str">
        <f>shubetsu041&amp;""</f>
        <v/>
      </c>
      <c r="D53" t="str">
        <f>billid041&amp;""</f>
        <v/>
      </c>
      <c r="E53" t="str">
        <f>UPPER(SUBSTITUTE(番明[[#This Row],[ご請求番号]],"-",""))</f>
        <v/>
      </c>
      <c r="F53" t="str">
        <f>keiyakuid041&amp;""</f>
        <v/>
      </c>
      <c r="G53">
        <f>IF(companyyn041="既存コードに追加",1,0)</f>
        <v>0</v>
      </c>
      <c r="H53" t="str">
        <f>companycode041&amp;""</f>
        <v/>
      </c>
      <c r="I53" t="str">
        <f>IF(accelikkatsu041="","希望しない",accelikkatsu041)</f>
        <v>希望しない</v>
      </c>
      <c r="J53" t="str">
        <f>IF(belugabunyn041="","なし",belugabunyn041)</f>
        <v>なし</v>
      </c>
      <c r="K53" t="str">
        <f>belugabun041&amp;""</f>
        <v/>
      </c>
      <c r="L53" t="b">
        <f>shutoku041</f>
        <v>0</v>
      </c>
    </row>
    <row r="54" spans="1:12">
      <c r="A54">
        <v>42</v>
      </c>
      <c r="B54" t="str">
        <f>IF(moushikubun042="","追加",moushikubun042)</f>
        <v>追加</v>
      </c>
      <c r="C54" t="str">
        <f>shubetsu042&amp;""</f>
        <v/>
      </c>
      <c r="D54" t="str">
        <f>billid042&amp;""</f>
        <v/>
      </c>
      <c r="E54" t="str">
        <f>UPPER(SUBSTITUTE(番明[[#This Row],[ご請求番号]],"-",""))</f>
        <v/>
      </c>
      <c r="F54" t="str">
        <f>keiyakuid042&amp;""</f>
        <v/>
      </c>
      <c r="G54">
        <f>IF(companyyn042="既存コードに追加",1,0)</f>
        <v>0</v>
      </c>
      <c r="H54" t="str">
        <f>companycode042&amp;""</f>
        <v/>
      </c>
      <c r="I54" t="str">
        <f>IF(accelikkatsu042="","希望しない",accelikkatsu042)</f>
        <v>希望しない</v>
      </c>
      <c r="J54" t="str">
        <f>IF(belugabunyn042="","なし",belugabunyn042)</f>
        <v>なし</v>
      </c>
      <c r="K54" t="str">
        <f>belugabun042&amp;""</f>
        <v/>
      </c>
      <c r="L54" t="b">
        <f>shutoku042</f>
        <v>0</v>
      </c>
    </row>
    <row r="55" spans="1:12">
      <c r="A55">
        <v>43</v>
      </c>
      <c r="B55" t="str">
        <f>IF(moushikubun043="","追加",moushikubun043)</f>
        <v>追加</v>
      </c>
      <c r="C55" t="str">
        <f>shubetsu043&amp;""</f>
        <v/>
      </c>
      <c r="D55" t="str">
        <f>billid043&amp;""</f>
        <v/>
      </c>
      <c r="E55" t="str">
        <f>UPPER(SUBSTITUTE(番明[[#This Row],[ご請求番号]],"-",""))</f>
        <v/>
      </c>
      <c r="F55" t="str">
        <f>keiyakuid043&amp;""</f>
        <v/>
      </c>
      <c r="G55">
        <f>IF(companyyn043="既存コードに追加",1,0)</f>
        <v>0</v>
      </c>
      <c r="H55" t="str">
        <f>companycode043&amp;""</f>
        <v/>
      </c>
      <c r="I55" t="str">
        <f>IF(accelikkatsu043="","希望しない",accelikkatsu043)</f>
        <v>希望しない</v>
      </c>
      <c r="J55" t="str">
        <f>IF(belugabunyn043="","なし",belugabunyn043)</f>
        <v>なし</v>
      </c>
      <c r="K55" t="str">
        <f>belugabun043&amp;""</f>
        <v/>
      </c>
      <c r="L55" t="b">
        <f>shutoku043</f>
        <v>0</v>
      </c>
    </row>
    <row r="56" spans="1:12">
      <c r="A56">
        <v>44</v>
      </c>
      <c r="B56" t="str">
        <f>IF(moushikubun044="","追加",moushikubun044)</f>
        <v>追加</v>
      </c>
      <c r="C56" t="str">
        <f>shubetsu044&amp;""</f>
        <v/>
      </c>
      <c r="D56" t="str">
        <f>billid044&amp;""</f>
        <v/>
      </c>
      <c r="E56" t="str">
        <f>UPPER(SUBSTITUTE(番明[[#This Row],[ご請求番号]],"-",""))</f>
        <v/>
      </c>
      <c r="F56" t="str">
        <f>keiyakuid044&amp;""</f>
        <v/>
      </c>
      <c r="G56">
        <f>IF(companyyn044="既存コードに追加",1,0)</f>
        <v>0</v>
      </c>
      <c r="H56" t="str">
        <f>companycode044&amp;""</f>
        <v/>
      </c>
      <c r="I56" t="str">
        <f>IF(accelikkatsu044="","希望しない",accelikkatsu044)</f>
        <v>希望しない</v>
      </c>
      <c r="J56" t="str">
        <f>IF(belugabunyn044="","なし",belugabunyn044)</f>
        <v>なし</v>
      </c>
      <c r="K56" t="str">
        <f>belugabun044&amp;""</f>
        <v/>
      </c>
      <c r="L56" t="b">
        <f>shutoku044</f>
        <v>0</v>
      </c>
    </row>
    <row r="57" spans="1:12">
      <c r="A57">
        <v>45</v>
      </c>
      <c r="B57" t="str">
        <f>IF(moushikubun045="","追加",moushikubun045)</f>
        <v>追加</v>
      </c>
      <c r="C57" t="str">
        <f>shubetsu045&amp;""</f>
        <v/>
      </c>
      <c r="D57" t="str">
        <f>billid045&amp;""</f>
        <v/>
      </c>
      <c r="E57" t="str">
        <f>UPPER(SUBSTITUTE(番明[[#This Row],[ご請求番号]],"-",""))</f>
        <v/>
      </c>
      <c r="F57" t="str">
        <f>keiyakuid045&amp;""</f>
        <v/>
      </c>
      <c r="G57">
        <f>IF(companyyn045="既存コードに追加",1,0)</f>
        <v>0</v>
      </c>
      <c r="H57" t="str">
        <f>companycode045&amp;""</f>
        <v/>
      </c>
      <c r="I57" t="str">
        <f>IF(accelikkatsu045="","希望しない",accelikkatsu045)</f>
        <v>希望しない</v>
      </c>
      <c r="J57" t="str">
        <f>IF(belugabunyn045="","なし",belugabunyn045)</f>
        <v>なし</v>
      </c>
      <c r="K57" t="str">
        <f>belugabun045&amp;""</f>
        <v/>
      </c>
      <c r="L57" t="b">
        <f>shutoku045</f>
        <v>0</v>
      </c>
    </row>
    <row r="58" spans="1:12">
      <c r="A58">
        <v>46</v>
      </c>
      <c r="B58" t="str">
        <f>IF(moushikubun046="","追加",moushikubun046)</f>
        <v>追加</v>
      </c>
      <c r="C58" t="str">
        <f>shubetsu046&amp;""</f>
        <v/>
      </c>
      <c r="D58" t="str">
        <f>billid046&amp;""</f>
        <v/>
      </c>
      <c r="E58" t="str">
        <f>UPPER(SUBSTITUTE(番明[[#This Row],[ご請求番号]],"-",""))</f>
        <v/>
      </c>
      <c r="F58" t="str">
        <f>keiyakuid046&amp;""</f>
        <v/>
      </c>
      <c r="G58">
        <f>IF(companyyn046="既存コードに追加",1,0)</f>
        <v>0</v>
      </c>
      <c r="H58" t="str">
        <f>companycode046&amp;""</f>
        <v/>
      </c>
      <c r="I58" t="str">
        <f>IF(accelikkatsu046="","希望しない",accelikkatsu046)</f>
        <v>希望しない</v>
      </c>
      <c r="J58" t="str">
        <f>IF(belugabunyn046="","なし",belugabunyn046)</f>
        <v>なし</v>
      </c>
      <c r="K58" t="str">
        <f>belugabun046&amp;""</f>
        <v/>
      </c>
      <c r="L58" t="b">
        <f>shutoku046</f>
        <v>0</v>
      </c>
    </row>
    <row r="59" spans="1:12">
      <c r="A59">
        <v>47</v>
      </c>
      <c r="B59" t="str">
        <f>IF(moushikubun047="","追加",moushikubun047)</f>
        <v>追加</v>
      </c>
      <c r="C59" t="str">
        <f>shubetsu047&amp;""</f>
        <v/>
      </c>
      <c r="D59" t="str">
        <f>billid047&amp;""</f>
        <v/>
      </c>
      <c r="E59" t="str">
        <f>UPPER(SUBSTITUTE(番明[[#This Row],[ご請求番号]],"-",""))</f>
        <v/>
      </c>
      <c r="F59" t="str">
        <f>keiyakuid047&amp;""</f>
        <v/>
      </c>
      <c r="G59">
        <f>IF(companyyn047="既存コードに追加",1,0)</f>
        <v>0</v>
      </c>
      <c r="H59" t="str">
        <f>companycode047&amp;""</f>
        <v/>
      </c>
      <c r="I59" t="str">
        <f>IF(accelikkatsu047="","希望しない",accelikkatsu047)</f>
        <v>希望しない</v>
      </c>
      <c r="J59" t="str">
        <f>IF(belugabunyn047="","なし",belugabunyn047)</f>
        <v>なし</v>
      </c>
      <c r="K59" t="str">
        <f>belugabun047&amp;""</f>
        <v/>
      </c>
      <c r="L59" t="b">
        <f>shutoku047</f>
        <v>0</v>
      </c>
    </row>
    <row r="60" spans="1:12">
      <c r="A60">
        <v>48</v>
      </c>
      <c r="B60" t="str">
        <f>IF(moushikubun048="","追加",moushikubun048)</f>
        <v>追加</v>
      </c>
      <c r="C60" t="str">
        <f>shubetsu048&amp;""</f>
        <v/>
      </c>
      <c r="D60" t="str">
        <f>billid048&amp;""</f>
        <v/>
      </c>
      <c r="E60" t="str">
        <f>UPPER(SUBSTITUTE(番明[[#This Row],[ご請求番号]],"-",""))</f>
        <v/>
      </c>
      <c r="F60" t="str">
        <f>keiyakuid048&amp;""</f>
        <v/>
      </c>
      <c r="G60">
        <f>IF(companyyn048="既存コードに追加",1,0)</f>
        <v>0</v>
      </c>
      <c r="H60" t="str">
        <f>companycode048&amp;""</f>
        <v/>
      </c>
      <c r="I60" t="str">
        <f>IF(accelikkatsu048="","希望しない",accelikkatsu048)</f>
        <v>希望しない</v>
      </c>
      <c r="J60" t="str">
        <f>IF(belugabunyn048="","なし",belugabunyn048)</f>
        <v>なし</v>
      </c>
      <c r="K60" t="str">
        <f>belugabun048&amp;""</f>
        <v/>
      </c>
      <c r="L60" t="b">
        <f>shutoku048</f>
        <v>0</v>
      </c>
    </row>
    <row r="61" spans="1:12">
      <c r="A61">
        <v>49</v>
      </c>
      <c r="B61" t="str">
        <f>IF(moushikubun049="","追加",moushikubun049)</f>
        <v>追加</v>
      </c>
      <c r="C61" t="str">
        <f>shubetsu049&amp;""</f>
        <v/>
      </c>
      <c r="D61" t="str">
        <f>billid049&amp;""</f>
        <v/>
      </c>
      <c r="E61" t="str">
        <f>UPPER(SUBSTITUTE(番明[[#This Row],[ご請求番号]],"-",""))</f>
        <v/>
      </c>
      <c r="F61" t="str">
        <f>keiyakuid049&amp;""</f>
        <v/>
      </c>
      <c r="G61">
        <f>IF(companyyn049="既存コードに追加",1,0)</f>
        <v>0</v>
      </c>
      <c r="H61" t="str">
        <f>companycode049&amp;""</f>
        <v/>
      </c>
      <c r="I61" t="str">
        <f>IF(accelikkatsu049="","希望しない",accelikkatsu049)</f>
        <v>希望しない</v>
      </c>
      <c r="J61" t="str">
        <f>IF(belugabunyn049="","なし",belugabunyn049)</f>
        <v>なし</v>
      </c>
      <c r="K61" t="str">
        <f>belugabun049&amp;""</f>
        <v/>
      </c>
      <c r="L61" t="b">
        <f>shutoku049</f>
        <v>0</v>
      </c>
    </row>
    <row r="62" spans="1:12">
      <c r="A62">
        <v>50</v>
      </c>
      <c r="B62" t="str">
        <f>IF(moushikubun050="","追加",moushikubun050)</f>
        <v>追加</v>
      </c>
      <c r="C62" t="str">
        <f>shubetsu050&amp;""</f>
        <v/>
      </c>
      <c r="D62" t="str">
        <f>billid050&amp;""</f>
        <v/>
      </c>
      <c r="E62" t="str">
        <f>UPPER(SUBSTITUTE(番明[[#This Row],[ご請求番号]],"-",""))</f>
        <v/>
      </c>
      <c r="F62" t="str">
        <f>keiyakuid050&amp;""</f>
        <v/>
      </c>
      <c r="G62">
        <f>IF(companyyn050="既存コードに追加",1,0)</f>
        <v>0</v>
      </c>
      <c r="H62" t="str">
        <f>companycode050&amp;""</f>
        <v/>
      </c>
      <c r="I62" t="str">
        <f>IF(accelikkatsu050="","希望しない",accelikkatsu050)</f>
        <v>希望しない</v>
      </c>
      <c r="J62" t="str">
        <f>IF(belugabunyn050="","なし",belugabunyn050)</f>
        <v>なし</v>
      </c>
      <c r="K62" t="str">
        <f>belugabun050&amp;""</f>
        <v/>
      </c>
      <c r="L62" t="b">
        <f>shutoku050</f>
        <v>0</v>
      </c>
    </row>
    <row r="63" spans="1:12">
      <c r="A63">
        <v>51</v>
      </c>
      <c r="B63" t="str">
        <f>IF(moushikubun051="","追加",moushikubun051)</f>
        <v>追加</v>
      </c>
      <c r="C63" t="str">
        <f>shubetsu051&amp;""</f>
        <v/>
      </c>
      <c r="D63" t="str">
        <f>billid051&amp;""</f>
        <v/>
      </c>
      <c r="E63" t="str">
        <f>UPPER(SUBSTITUTE(番明[[#This Row],[ご請求番号]],"-",""))</f>
        <v/>
      </c>
      <c r="F63" t="str">
        <f>keiyakuid051&amp;""</f>
        <v/>
      </c>
      <c r="G63">
        <f>IF(companyyn051="既存コードに追加",1,0)</f>
        <v>0</v>
      </c>
      <c r="H63" t="str">
        <f>companycode051&amp;""</f>
        <v/>
      </c>
      <c r="I63" t="str">
        <f>IF(accelikkatsu051="","希望しない",accelikkatsu051)</f>
        <v>希望しない</v>
      </c>
      <c r="J63" t="str">
        <f>IF(belugabunyn051="","なし",belugabunyn051)</f>
        <v>なし</v>
      </c>
      <c r="K63" t="str">
        <f>belugabun051&amp;""</f>
        <v/>
      </c>
      <c r="L63" t="b">
        <f>shutoku051</f>
        <v>0</v>
      </c>
    </row>
    <row r="64" spans="1:12">
      <c r="A64">
        <v>52</v>
      </c>
      <c r="B64" t="str">
        <f>IF(moushikubun052="","追加",moushikubun052)</f>
        <v>追加</v>
      </c>
      <c r="C64" t="str">
        <f>shubetsu052&amp;""</f>
        <v/>
      </c>
      <c r="D64" t="str">
        <f>billid052&amp;""</f>
        <v/>
      </c>
      <c r="E64" t="str">
        <f>UPPER(SUBSTITUTE(番明[[#This Row],[ご請求番号]],"-",""))</f>
        <v/>
      </c>
      <c r="F64" t="str">
        <f>keiyakuid052&amp;""</f>
        <v/>
      </c>
      <c r="G64">
        <f>IF(companyyn052="既存コードに追加",1,0)</f>
        <v>0</v>
      </c>
      <c r="H64" t="str">
        <f>companycode052&amp;""</f>
        <v/>
      </c>
      <c r="I64" t="str">
        <f>IF(accelikkatsu052="","希望しない",accelikkatsu052)</f>
        <v>希望しない</v>
      </c>
      <c r="J64" t="str">
        <f>IF(belugabunyn052="","なし",belugabunyn052)</f>
        <v>なし</v>
      </c>
      <c r="K64" t="str">
        <f>belugabun052&amp;""</f>
        <v/>
      </c>
      <c r="L64" t="b">
        <f>shutoku052</f>
        <v>0</v>
      </c>
    </row>
    <row r="65" spans="1:12">
      <c r="A65">
        <v>53</v>
      </c>
      <c r="B65" t="str">
        <f>IF(moushikubun053="","追加",moushikubun053)</f>
        <v>追加</v>
      </c>
      <c r="C65" t="str">
        <f>shubetsu053&amp;""</f>
        <v/>
      </c>
      <c r="D65" t="str">
        <f>billid053&amp;""</f>
        <v/>
      </c>
      <c r="E65" t="str">
        <f>UPPER(SUBSTITUTE(番明[[#This Row],[ご請求番号]],"-",""))</f>
        <v/>
      </c>
      <c r="F65" t="str">
        <f>keiyakuid053&amp;""</f>
        <v/>
      </c>
      <c r="G65">
        <f>IF(companyyn053="既存コードに追加",1,0)</f>
        <v>0</v>
      </c>
      <c r="H65" t="str">
        <f>companycode053&amp;""</f>
        <v/>
      </c>
      <c r="I65" t="str">
        <f>IF(accelikkatsu053="","希望しない",accelikkatsu053)</f>
        <v>希望しない</v>
      </c>
      <c r="J65" t="str">
        <f>IF(belugabunyn053="","なし",belugabunyn053)</f>
        <v>なし</v>
      </c>
      <c r="K65" t="str">
        <f>belugabun053&amp;""</f>
        <v/>
      </c>
      <c r="L65" t="b">
        <f>shutoku053</f>
        <v>0</v>
      </c>
    </row>
    <row r="66" spans="1:12">
      <c r="A66">
        <v>54</v>
      </c>
      <c r="B66" t="str">
        <f>IF(moushikubun054="","追加",moushikubun054)</f>
        <v>追加</v>
      </c>
      <c r="C66" t="str">
        <f>shubetsu054&amp;""</f>
        <v/>
      </c>
      <c r="D66" t="str">
        <f>billid054&amp;""</f>
        <v/>
      </c>
      <c r="E66" t="str">
        <f>UPPER(SUBSTITUTE(番明[[#This Row],[ご請求番号]],"-",""))</f>
        <v/>
      </c>
      <c r="F66" t="str">
        <f>keiyakuid054&amp;""</f>
        <v/>
      </c>
      <c r="G66">
        <f>IF(companyyn054="既存コードに追加",1,0)</f>
        <v>0</v>
      </c>
      <c r="H66" t="str">
        <f>companycode054&amp;""</f>
        <v/>
      </c>
      <c r="I66" t="str">
        <f>IF(accelikkatsu054="","希望しない",accelikkatsu054)</f>
        <v>希望しない</v>
      </c>
      <c r="J66" t="str">
        <f>IF(belugabunyn054="","なし",belugabunyn054)</f>
        <v>なし</v>
      </c>
      <c r="K66" t="str">
        <f>belugabun054&amp;""</f>
        <v/>
      </c>
      <c r="L66" t="b">
        <f>shutoku054</f>
        <v>0</v>
      </c>
    </row>
    <row r="67" spans="1:12">
      <c r="A67">
        <v>55</v>
      </c>
      <c r="B67" t="str">
        <f>IF(moushikubun055="","追加",moushikubun055)</f>
        <v>追加</v>
      </c>
      <c r="C67" t="str">
        <f>shubetsu055&amp;""</f>
        <v/>
      </c>
      <c r="D67" t="str">
        <f>billid055&amp;""</f>
        <v/>
      </c>
      <c r="E67" t="str">
        <f>UPPER(SUBSTITUTE(番明[[#This Row],[ご請求番号]],"-",""))</f>
        <v/>
      </c>
      <c r="F67" t="str">
        <f>keiyakuid055&amp;""</f>
        <v/>
      </c>
      <c r="G67">
        <f>IF(companyyn055="既存コードに追加",1,0)</f>
        <v>0</v>
      </c>
      <c r="H67" t="str">
        <f>companycode055&amp;""</f>
        <v/>
      </c>
      <c r="I67" t="str">
        <f>IF(accelikkatsu055="","希望しない",accelikkatsu055)</f>
        <v>希望しない</v>
      </c>
      <c r="J67" t="str">
        <f>IF(belugabunyn055="","なし",belugabunyn055)</f>
        <v>なし</v>
      </c>
      <c r="K67" t="str">
        <f>belugabun055&amp;""</f>
        <v/>
      </c>
      <c r="L67" t="b">
        <f>shutoku055</f>
        <v>0</v>
      </c>
    </row>
    <row r="68" spans="1:12">
      <c r="A68">
        <v>56</v>
      </c>
      <c r="B68" t="str">
        <f>IF(moushikubun056="","追加",moushikubun056)</f>
        <v>追加</v>
      </c>
      <c r="C68" t="str">
        <f>shubetsu056&amp;""</f>
        <v/>
      </c>
      <c r="D68" t="str">
        <f>billid056&amp;""</f>
        <v/>
      </c>
      <c r="E68" t="str">
        <f>UPPER(SUBSTITUTE(番明[[#This Row],[ご請求番号]],"-",""))</f>
        <v/>
      </c>
      <c r="F68" t="str">
        <f>keiyakuid056&amp;""</f>
        <v/>
      </c>
      <c r="G68">
        <f>IF(companyyn056="既存コードに追加",1,0)</f>
        <v>0</v>
      </c>
      <c r="H68" t="str">
        <f>companycode056&amp;""</f>
        <v/>
      </c>
      <c r="I68" t="str">
        <f>IF(accelikkatsu056="","希望しない",accelikkatsu056)</f>
        <v>希望しない</v>
      </c>
      <c r="J68" t="str">
        <f>IF(belugabunyn056="","なし",belugabunyn056)</f>
        <v>なし</v>
      </c>
      <c r="K68" t="str">
        <f>belugabun056&amp;""</f>
        <v/>
      </c>
      <c r="L68" t="b">
        <f>shutoku056</f>
        <v>0</v>
      </c>
    </row>
    <row r="69" spans="1:12">
      <c r="A69">
        <v>57</v>
      </c>
      <c r="B69" t="str">
        <f>IF(moushikubun057="","追加",moushikubun057)</f>
        <v>追加</v>
      </c>
      <c r="C69" t="str">
        <f>shubetsu057&amp;""</f>
        <v/>
      </c>
      <c r="D69" t="str">
        <f>billid057&amp;""</f>
        <v/>
      </c>
      <c r="E69" t="str">
        <f>UPPER(SUBSTITUTE(番明[[#This Row],[ご請求番号]],"-",""))</f>
        <v/>
      </c>
      <c r="F69" t="str">
        <f>keiyakuid057&amp;""</f>
        <v/>
      </c>
      <c r="G69">
        <f>IF(companyyn057="既存コードに追加",1,0)</f>
        <v>0</v>
      </c>
      <c r="H69" t="str">
        <f>companycode057&amp;""</f>
        <v/>
      </c>
      <c r="I69" t="str">
        <f>IF(accelikkatsu057="","希望しない",accelikkatsu057)</f>
        <v>希望しない</v>
      </c>
      <c r="J69" t="str">
        <f>IF(belugabunyn057="","なし",belugabunyn057)</f>
        <v>なし</v>
      </c>
      <c r="K69" t="str">
        <f>belugabun057&amp;""</f>
        <v/>
      </c>
      <c r="L69" t="b">
        <f>shutoku057</f>
        <v>0</v>
      </c>
    </row>
    <row r="70" spans="1:12">
      <c r="A70">
        <v>58</v>
      </c>
      <c r="B70" t="str">
        <f>IF(moushikubun058="","追加",moushikubun058)</f>
        <v>追加</v>
      </c>
      <c r="C70" t="str">
        <f>shubetsu058&amp;""</f>
        <v/>
      </c>
      <c r="D70" t="str">
        <f>billid058&amp;""</f>
        <v/>
      </c>
      <c r="E70" t="str">
        <f>UPPER(SUBSTITUTE(番明[[#This Row],[ご請求番号]],"-",""))</f>
        <v/>
      </c>
      <c r="F70" t="str">
        <f>keiyakuid058&amp;""</f>
        <v/>
      </c>
      <c r="G70">
        <f>IF(companyyn058="既存コードに追加",1,0)</f>
        <v>0</v>
      </c>
      <c r="H70" t="str">
        <f>companycode058&amp;""</f>
        <v/>
      </c>
      <c r="I70" t="str">
        <f>IF(accelikkatsu058="","希望しない",accelikkatsu058)</f>
        <v>希望しない</v>
      </c>
      <c r="J70" t="str">
        <f>IF(belugabunyn058="","なし",belugabunyn058)</f>
        <v>なし</v>
      </c>
      <c r="K70" t="str">
        <f>belugabun058&amp;""</f>
        <v/>
      </c>
      <c r="L70" t="b">
        <f>shutoku058</f>
        <v>0</v>
      </c>
    </row>
    <row r="71" spans="1:12">
      <c r="A71">
        <v>59</v>
      </c>
      <c r="B71" t="str">
        <f>IF(moushikubun059="","追加",moushikubun059)</f>
        <v>追加</v>
      </c>
      <c r="C71" t="str">
        <f>shubetsu059&amp;""</f>
        <v/>
      </c>
      <c r="D71" t="str">
        <f>billid059&amp;""</f>
        <v/>
      </c>
      <c r="E71" t="str">
        <f>UPPER(SUBSTITUTE(番明[[#This Row],[ご請求番号]],"-",""))</f>
        <v/>
      </c>
      <c r="F71" t="str">
        <f>keiyakuid059&amp;""</f>
        <v/>
      </c>
      <c r="G71">
        <f>IF(companyyn059="既存コードに追加",1,0)</f>
        <v>0</v>
      </c>
      <c r="H71" t="str">
        <f>companycode059&amp;""</f>
        <v/>
      </c>
      <c r="I71" t="str">
        <f>IF(accelikkatsu059="","希望しない",accelikkatsu059)</f>
        <v>希望しない</v>
      </c>
      <c r="J71" t="str">
        <f>IF(belugabunyn059="","なし",belugabunyn059)</f>
        <v>なし</v>
      </c>
      <c r="K71" t="str">
        <f>belugabun059&amp;""</f>
        <v/>
      </c>
      <c r="L71" t="b">
        <f>shutoku059</f>
        <v>0</v>
      </c>
    </row>
    <row r="72" spans="1:12">
      <c r="A72">
        <v>60</v>
      </c>
      <c r="B72" t="str">
        <f>IF(moushikubun060="","追加",moushikubun060)</f>
        <v>追加</v>
      </c>
      <c r="C72" t="str">
        <f>shubetsu060&amp;""</f>
        <v/>
      </c>
      <c r="D72" t="str">
        <f>billid060&amp;""</f>
        <v/>
      </c>
      <c r="E72" t="str">
        <f>UPPER(SUBSTITUTE(番明[[#This Row],[ご請求番号]],"-",""))</f>
        <v/>
      </c>
      <c r="F72" t="str">
        <f>keiyakuid060&amp;""</f>
        <v/>
      </c>
      <c r="G72">
        <f>IF(companyyn060="既存コードに追加",1,0)</f>
        <v>0</v>
      </c>
      <c r="H72" t="str">
        <f>companycode060&amp;""</f>
        <v/>
      </c>
      <c r="I72" t="str">
        <f>IF(accelikkatsu060="","希望しない",accelikkatsu060)</f>
        <v>希望しない</v>
      </c>
      <c r="J72" t="str">
        <f>IF(belugabunyn060="","なし",belugabunyn060)</f>
        <v>なし</v>
      </c>
      <c r="K72" t="str">
        <f>belugabun060&amp;""</f>
        <v/>
      </c>
      <c r="L72" t="b">
        <f>shutoku060</f>
        <v>0</v>
      </c>
    </row>
    <row r="73" spans="1:12">
      <c r="A73">
        <v>61</v>
      </c>
      <c r="B73" t="str">
        <f>IF(moushikubun061="","追加",moushikubun061)</f>
        <v>追加</v>
      </c>
      <c r="C73" t="str">
        <f>shubetsu061&amp;""</f>
        <v/>
      </c>
      <c r="D73" t="str">
        <f>billid061&amp;""</f>
        <v/>
      </c>
      <c r="E73" t="str">
        <f>UPPER(SUBSTITUTE(番明[[#This Row],[ご請求番号]],"-",""))</f>
        <v/>
      </c>
      <c r="F73" t="str">
        <f>keiyakuid061&amp;""</f>
        <v/>
      </c>
      <c r="G73">
        <f>IF(companyyn061="既存コードに追加",1,0)</f>
        <v>0</v>
      </c>
      <c r="H73" t="str">
        <f>companycode061&amp;""</f>
        <v/>
      </c>
      <c r="I73" t="str">
        <f>IF(accelikkatsu061="","希望しない",accelikkatsu061)</f>
        <v>希望しない</v>
      </c>
      <c r="J73" t="str">
        <f>IF(belugabunyn061="","なし",belugabunyn061)</f>
        <v>なし</v>
      </c>
      <c r="K73" t="str">
        <f>belugabun061&amp;""</f>
        <v/>
      </c>
      <c r="L73" t="b">
        <f>shutoku061</f>
        <v>0</v>
      </c>
    </row>
    <row r="74" spans="1:12">
      <c r="A74">
        <v>62</v>
      </c>
      <c r="B74" t="str">
        <f>IF(moushikubun062="","追加",moushikubun062)</f>
        <v>追加</v>
      </c>
      <c r="C74" t="str">
        <f>shubetsu062&amp;""</f>
        <v/>
      </c>
      <c r="D74" t="str">
        <f>billid062&amp;""</f>
        <v/>
      </c>
      <c r="E74" t="str">
        <f>UPPER(SUBSTITUTE(番明[[#This Row],[ご請求番号]],"-",""))</f>
        <v/>
      </c>
      <c r="F74" t="str">
        <f>keiyakuid062&amp;""</f>
        <v/>
      </c>
      <c r="G74">
        <f>IF(companyyn062="既存コードに追加",1,0)</f>
        <v>0</v>
      </c>
      <c r="H74" t="str">
        <f>companycode062&amp;""</f>
        <v/>
      </c>
      <c r="I74" t="str">
        <f>IF(accelikkatsu062="","希望しない",accelikkatsu062)</f>
        <v>希望しない</v>
      </c>
      <c r="J74" t="str">
        <f>IF(belugabunyn062="","なし",belugabunyn062)</f>
        <v>なし</v>
      </c>
      <c r="K74" t="str">
        <f>belugabun062&amp;""</f>
        <v/>
      </c>
      <c r="L74" t="b">
        <f>shutoku062</f>
        <v>0</v>
      </c>
    </row>
    <row r="75" spans="1:12">
      <c r="A75">
        <v>63</v>
      </c>
      <c r="B75" t="str">
        <f>IF(moushikubun063="","追加",moushikubun063)</f>
        <v>追加</v>
      </c>
      <c r="C75" t="str">
        <f>shubetsu063&amp;""</f>
        <v/>
      </c>
      <c r="D75" t="str">
        <f>billid063&amp;""</f>
        <v/>
      </c>
      <c r="E75" t="str">
        <f>UPPER(SUBSTITUTE(番明[[#This Row],[ご請求番号]],"-",""))</f>
        <v/>
      </c>
      <c r="F75" t="str">
        <f>keiyakuid063&amp;""</f>
        <v/>
      </c>
      <c r="G75">
        <f>IF(companyyn063="既存コードに追加",1,0)</f>
        <v>0</v>
      </c>
      <c r="H75" t="str">
        <f>companycode063&amp;""</f>
        <v/>
      </c>
      <c r="I75" t="str">
        <f>IF(accelikkatsu063="","希望しない",accelikkatsu063)</f>
        <v>希望しない</v>
      </c>
      <c r="J75" t="str">
        <f>IF(belugabunyn063="","なし",belugabunyn063)</f>
        <v>なし</v>
      </c>
      <c r="K75" t="str">
        <f>belugabun063&amp;""</f>
        <v/>
      </c>
      <c r="L75" t="b">
        <f>shutoku063</f>
        <v>0</v>
      </c>
    </row>
    <row r="76" spans="1:12">
      <c r="A76">
        <v>64</v>
      </c>
      <c r="B76" t="str">
        <f>IF(moushikubun064="","追加",moushikubun064)</f>
        <v>追加</v>
      </c>
      <c r="C76" t="str">
        <f>shubetsu064&amp;""</f>
        <v/>
      </c>
      <c r="D76" t="str">
        <f>billid064&amp;""</f>
        <v/>
      </c>
      <c r="E76" t="str">
        <f>UPPER(SUBSTITUTE(番明[[#This Row],[ご請求番号]],"-",""))</f>
        <v/>
      </c>
      <c r="F76" t="str">
        <f>keiyakuid064&amp;""</f>
        <v/>
      </c>
      <c r="G76">
        <f>IF(companyyn064="既存コードに追加",1,0)</f>
        <v>0</v>
      </c>
      <c r="H76" t="str">
        <f>companycode064&amp;""</f>
        <v/>
      </c>
      <c r="I76" t="str">
        <f>IF(accelikkatsu064="","希望しない",accelikkatsu064)</f>
        <v>希望しない</v>
      </c>
      <c r="J76" t="str">
        <f>IF(belugabunyn064="","なし",belugabunyn064)</f>
        <v>なし</v>
      </c>
      <c r="K76" t="str">
        <f>belugabun064&amp;""</f>
        <v/>
      </c>
      <c r="L76" t="b">
        <f>shutoku064</f>
        <v>0</v>
      </c>
    </row>
    <row r="77" spans="1:12">
      <c r="A77">
        <v>65</v>
      </c>
      <c r="B77" t="str">
        <f>IF(moushikubun065="","追加",moushikubun065)</f>
        <v>追加</v>
      </c>
      <c r="C77" t="str">
        <f>shubetsu065&amp;""</f>
        <v/>
      </c>
      <c r="D77" t="str">
        <f>billid065&amp;""</f>
        <v/>
      </c>
      <c r="E77" t="str">
        <f>UPPER(SUBSTITUTE(番明[[#This Row],[ご請求番号]],"-",""))</f>
        <v/>
      </c>
      <c r="F77" t="str">
        <f>keiyakuid065&amp;""</f>
        <v/>
      </c>
      <c r="G77">
        <f>IF(companyyn065="既存コードに追加",1,0)</f>
        <v>0</v>
      </c>
      <c r="H77" t="str">
        <f>companycode065&amp;""</f>
        <v/>
      </c>
      <c r="I77" t="str">
        <f>IF(accelikkatsu065="","希望しない",accelikkatsu065)</f>
        <v>希望しない</v>
      </c>
      <c r="J77" t="str">
        <f>IF(belugabunyn065="","なし",belugabunyn065)</f>
        <v>なし</v>
      </c>
      <c r="K77" t="str">
        <f>belugabun065&amp;""</f>
        <v/>
      </c>
      <c r="L77" t="b">
        <f>shutoku065</f>
        <v>0</v>
      </c>
    </row>
    <row r="78" spans="1:12">
      <c r="A78">
        <v>66</v>
      </c>
      <c r="B78" t="str">
        <f>IF(moushikubun066="","追加",moushikubun066)</f>
        <v>追加</v>
      </c>
      <c r="C78" t="str">
        <f>shubetsu066&amp;""</f>
        <v/>
      </c>
      <c r="D78" t="str">
        <f>billid066&amp;""</f>
        <v/>
      </c>
      <c r="E78" t="str">
        <f>UPPER(SUBSTITUTE(番明[[#This Row],[ご請求番号]],"-",""))</f>
        <v/>
      </c>
      <c r="F78" t="str">
        <f>keiyakuid066&amp;""</f>
        <v/>
      </c>
      <c r="G78">
        <f>IF(companyyn066="既存コードに追加",1,0)</f>
        <v>0</v>
      </c>
      <c r="H78" t="str">
        <f>companycode066&amp;""</f>
        <v/>
      </c>
      <c r="I78" t="str">
        <f>IF(accelikkatsu066="","希望しない",accelikkatsu066)</f>
        <v>希望しない</v>
      </c>
      <c r="J78" t="str">
        <f>IF(belugabunyn066="","なし",belugabunyn066)</f>
        <v>なし</v>
      </c>
      <c r="K78" t="str">
        <f>belugabun066&amp;""</f>
        <v/>
      </c>
      <c r="L78" t="b">
        <f>shutoku066</f>
        <v>0</v>
      </c>
    </row>
    <row r="79" spans="1:12">
      <c r="A79">
        <v>67</v>
      </c>
      <c r="B79" t="str">
        <f>IF(moushikubun067="","追加",moushikubun067)</f>
        <v>追加</v>
      </c>
      <c r="C79" t="str">
        <f>shubetsu067&amp;""</f>
        <v/>
      </c>
      <c r="D79" t="str">
        <f>billid067&amp;""</f>
        <v/>
      </c>
      <c r="E79" t="str">
        <f>UPPER(SUBSTITUTE(番明[[#This Row],[ご請求番号]],"-",""))</f>
        <v/>
      </c>
      <c r="F79" t="str">
        <f>keiyakuid067&amp;""</f>
        <v/>
      </c>
      <c r="G79">
        <f>IF(companyyn067="既存コードに追加",1,0)</f>
        <v>0</v>
      </c>
      <c r="H79" t="str">
        <f>companycode067&amp;""</f>
        <v/>
      </c>
      <c r="I79" t="str">
        <f>IF(accelikkatsu067="","希望しない",accelikkatsu067)</f>
        <v>希望しない</v>
      </c>
      <c r="J79" t="str">
        <f>IF(belugabunyn067="","なし",belugabunyn067)</f>
        <v>なし</v>
      </c>
      <c r="K79" t="str">
        <f>belugabun067&amp;""</f>
        <v/>
      </c>
      <c r="L79" t="b">
        <f>shutoku067</f>
        <v>0</v>
      </c>
    </row>
    <row r="80" spans="1:12">
      <c r="A80">
        <v>68</v>
      </c>
      <c r="B80" t="str">
        <f>IF(moushikubun068="","追加",moushikubun068)</f>
        <v>追加</v>
      </c>
      <c r="C80" t="str">
        <f>shubetsu068&amp;""</f>
        <v/>
      </c>
      <c r="D80" t="str">
        <f>billid068&amp;""</f>
        <v/>
      </c>
      <c r="E80" t="str">
        <f>UPPER(SUBSTITUTE(番明[[#This Row],[ご請求番号]],"-",""))</f>
        <v/>
      </c>
      <c r="F80" t="str">
        <f>keiyakuid068&amp;""</f>
        <v/>
      </c>
      <c r="G80">
        <f>IF(companyyn068="既存コードに追加",1,0)</f>
        <v>0</v>
      </c>
      <c r="H80" t="str">
        <f>companycode068&amp;""</f>
        <v/>
      </c>
      <c r="I80" t="str">
        <f>IF(accelikkatsu068="","希望しない",accelikkatsu068)</f>
        <v>希望しない</v>
      </c>
      <c r="J80" t="str">
        <f>IF(belugabunyn068="","なし",belugabunyn068)</f>
        <v>なし</v>
      </c>
      <c r="K80" t="str">
        <f>belugabun068&amp;""</f>
        <v/>
      </c>
      <c r="L80" t="b">
        <f>shutoku068</f>
        <v>0</v>
      </c>
    </row>
    <row r="81" spans="1:12">
      <c r="A81">
        <v>69</v>
      </c>
      <c r="B81" t="str">
        <f>IF(moushikubun069="","追加",moushikubun069)</f>
        <v>追加</v>
      </c>
      <c r="C81" t="str">
        <f>shubetsu069&amp;""</f>
        <v/>
      </c>
      <c r="D81" t="str">
        <f>billid069&amp;""</f>
        <v/>
      </c>
      <c r="E81" t="str">
        <f>UPPER(SUBSTITUTE(番明[[#This Row],[ご請求番号]],"-",""))</f>
        <v/>
      </c>
      <c r="F81" t="str">
        <f>keiyakuid069&amp;""</f>
        <v/>
      </c>
      <c r="G81">
        <f>IF(companyyn069="既存コードに追加",1,0)</f>
        <v>0</v>
      </c>
      <c r="H81" t="str">
        <f>companycode069&amp;""</f>
        <v/>
      </c>
      <c r="I81" t="str">
        <f>IF(accelikkatsu069="","希望しない",accelikkatsu069)</f>
        <v>希望しない</v>
      </c>
      <c r="J81" t="str">
        <f>IF(belugabunyn069="","なし",belugabunyn069)</f>
        <v>なし</v>
      </c>
      <c r="K81" t="str">
        <f>belugabun069&amp;""</f>
        <v/>
      </c>
      <c r="L81" t="b">
        <f>shutoku069</f>
        <v>0</v>
      </c>
    </row>
    <row r="82" spans="1:12">
      <c r="A82">
        <v>70</v>
      </c>
      <c r="B82" t="str">
        <f>IF(moushikubun070="","追加",moushikubun070)</f>
        <v>追加</v>
      </c>
      <c r="C82" t="str">
        <f>shubetsu070&amp;""</f>
        <v/>
      </c>
      <c r="D82" t="str">
        <f>billid070&amp;""</f>
        <v/>
      </c>
      <c r="E82" t="str">
        <f>UPPER(SUBSTITUTE(番明[[#This Row],[ご請求番号]],"-",""))</f>
        <v/>
      </c>
      <c r="F82" t="str">
        <f>keiyakuid070&amp;""</f>
        <v/>
      </c>
      <c r="G82">
        <f>IF(companyyn070="既存コードに追加",1,0)</f>
        <v>0</v>
      </c>
      <c r="H82" t="str">
        <f>companycode070&amp;""</f>
        <v/>
      </c>
      <c r="I82" t="str">
        <f>IF(accelikkatsu070="","希望しない",accelikkatsu070)</f>
        <v>希望しない</v>
      </c>
      <c r="J82" t="str">
        <f>IF(belugabunyn070="","なし",belugabunyn070)</f>
        <v>なし</v>
      </c>
      <c r="K82" t="str">
        <f>belugabun070&amp;""</f>
        <v/>
      </c>
      <c r="L82" t="b">
        <f>shutoku070</f>
        <v>0</v>
      </c>
    </row>
    <row r="83" spans="1:12">
      <c r="A83">
        <v>71</v>
      </c>
      <c r="B83" t="str">
        <f>IF(moushikubun071="","追加",moushikubun071)</f>
        <v>追加</v>
      </c>
      <c r="C83" t="str">
        <f>shubetsu071&amp;""</f>
        <v/>
      </c>
      <c r="D83" t="str">
        <f>billid071&amp;""</f>
        <v/>
      </c>
      <c r="E83" t="str">
        <f>UPPER(SUBSTITUTE(番明[[#This Row],[ご請求番号]],"-",""))</f>
        <v/>
      </c>
      <c r="F83" t="str">
        <f>keiyakuid071&amp;""</f>
        <v/>
      </c>
      <c r="G83">
        <f>IF(companyyn071="既存コードに追加",1,0)</f>
        <v>0</v>
      </c>
      <c r="H83" t="str">
        <f>companycode071&amp;""</f>
        <v/>
      </c>
      <c r="I83" t="str">
        <f>IF(accelikkatsu071="","希望しない",accelikkatsu071)</f>
        <v>希望しない</v>
      </c>
      <c r="J83" t="str">
        <f>IF(belugabunyn071="","なし",belugabunyn071)</f>
        <v>なし</v>
      </c>
      <c r="K83" t="str">
        <f>belugabun071&amp;""</f>
        <v/>
      </c>
      <c r="L83" t="b">
        <f>shutoku071</f>
        <v>0</v>
      </c>
    </row>
    <row r="84" spans="1:12">
      <c r="A84">
        <v>72</v>
      </c>
      <c r="B84" t="str">
        <f>IF(moushikubun072="","追加",moushikubun072)</f>
        <v>追加</v>
      </c>
      <c r="C84" t="str">
        <f>shubetsu072&amp;""</f>
        <v/>
      </c>
      <c r="D84" t="str">
        <f>billid072&amp;""</f>
        <v/>
      </c>
      <c r="E84" t="str">
        <f>UPPER(SUBSTITUTE(番明[[#This Row],[ご請求番号]],"-",""))</f>
        <v/>
      </c>
      <c r="F84" t="str">
        <f>keiyakuid072&amp;""</f>
        <v/>
      </c>
      <c r="G84">
        <f>IF(companyyn072="既存コードに追加",1,0)</f>
        <v>0</v>
      </c>
      <c r="H84" t="str">
        <f>companycode072&amp;""</f>
        <v/>
      </c>
      <c r="I84" t="str">
        <f>IF(accelikkatsu072="","希望しない",accelikkatsu072)</f>
        <v>希望しない</v>
      </c>
      <c r="J84" t="str">
        <f>IF(belugabunyn072="","なし",belugabunyn072)</f>
        <v>なし</v>
      </c>
      <c r="K84" t="str">
        <f>belugabun072&amp;""</f>
        <v/>
      </c>
      <c r="L84" t="b">
        <f>shutoku072</f>
        <v>0</v>
      </c>
    </row>
    <row r="85" spans="1:12">
      <c r="A85">
        <v>73</v>
      </c>
      <c r="B85" t="str">
        <f>IF(moushikubun073="","追加",moushikubun073)</f>
        <v>追加</v>
      </c>
      <c r="C85" t="str">
        <f>shubetsu073&amp;""</f>
        <v/>
      </c>
      <c r="D85" t="str">
        <f>billid073&amp;""</f>
        <v/>
      </c>
      <c r="E85" t="str">
        <f>UPPER(SUBSTITUTE(番明[[#This Row],[ご請求番号]],"-",""))</f>
        <v/>
      </c>
      <c r="F85" t="str">
        <f>keiyakuid073&amp;""</f>
        <v/>
      </c>
      <c r="G85">
        <f>IF(companyyn073="既存コードに追加",1,0)</f>
        <v>0</v>
      </c>
      <c r="H85" t="str">
        <f>companycode073&amp;""</f>
        <v/>
      </c>
      <c r="I85" t="str">
        <f>IF(accelikkatsu073="","希望しない",accelikkatsu073)</f>
        <v>希望しない</v>
      </c>
      <c r="J85" t="str">
        <f>IF(belugabunyn073="","なし",belugabunyn073)</f>
        <v>なし</v>
      </c>
      <c r="K85" t="str">
        <f>belugabun073&amp;""</f>
        <v/>
      </c>
      <c r="L85" t="b">
        <f>shutoku073</f>
        <v>0</v>
      </c>
    </row>
    <row r="86" spans="1:12">
      <c r="A86">
        <v>74</v>
      </c>
      <c r="B86" t="str">
        <f>IF(moushikubun074="","追加",moushikubun074)</f>
        <v>追加</v>
      </c>
      <c r="C86" t="str">
        <f>shubetsu074&amp;""</f>
        <v/>
      </c>
      <c r="D86" t="str">
        <f>billid074&amp;""</f>
        <v/>
      </c>
      <c r="E86" t="str">
        <f>UPPER(SUBSTITUTE(番明[[#This Row],[ご請求番号]],"-",""))</f>
        <v/>
      </c>
      <c r="F86" t="str">
        <f>keiyakuid074&amp;""</f>
        <v/>
      </c>
      <c r="G86">
        <f>IF(companyyn074="既存コードに追加",1,0)</f>
        <v>0</v>
      </c>
      <c r="H86" t="str">
        <f>companycode074&amp;""</f>
        <v/>
      </c>
      <c r="I86" t="str">
        <f>IF(accelikkatsu074="","希望しない",accelikkatsu074)</f>
        <v>希望しない</v>
      </c>
      <c r="J86" t="str">
        <f>IF(belugabunyn074="","なし",belugabunyn074)</f>
        <v>なし</v>
      </c>
      <c r="K86" t="str">
        <f>belugabun074&amp;""</f>
        <v/>
      </c>
      <c r="L86" t="b">
        <f>shutoku074</f>
        <v>0</v>
      </c>
    </row>
    <row r="87" spans="1:12">
      <c r="A87">
        <v>75</v>
      </c>
      <c r="B87" t="str">
        <f>IF(moushikubun075="","追加",moushikubun075)</f>
        <v>追加</v>
      </c>
      <c r="C87" t="str">
        <f>shubetsu075&amp;""</f>
        <v/>
      </c>
      <c r="D87" t="str">
        <f>billid075&amp;""</f>
        <v/>
      </c>
      <c r="E87" t="str">
        <f>UPPER(SUBSTITUTE(番明[[#This Row],[ご請求番号]],"-",""))</f>
        <v/>
      </c>
      <c r="F87" t="str">
        <f>keiyakuid075&amp;""</f>
        <v/>
      </c>
      <c r="G87">
        <f>IF(companyyn075="既存コードに追加",1,0)</f>
        <v>0</v>
      </c>
      <c r="H87" t="str">
        <f>companycode075&amp;""</f>
        <v/>
      </c>
      <c r="I87" t="str">
        <f>IF(accelikkatsu075="","希望しない",accelikkatsu075)</f>
        <v>希望しない</v>
      </c>
      <c r="J87" t="str">
        <f>IF(belugabunyn075="","なし",belugabunyn075)</f>
        <v>なし</v>
      </c>
      <c r="K87" t="str">
        <f>belugabun075&amp;""</f>
        <v/>
      </c>
      <c r="L87" t="b">
        <f>shutoku075</f>
        <v>0</v>
      </c>
    </row>
    <row r="88" spans="1:12">
      <c r="A88">
        <v>76</v>
      </c>
      <c r="B88" t="str">
        <f>IF(moushikubun076="","追加",moushikubun076)</f>
        <v>追加</v>
      </c>
      <c r="C88" t="str">
        <f>shubetsu076&amp;""</f>
        <v/>
      </c>
      <c r="D88" t="str">
        <f>billid076&amp;""</f>
        <v/>
      </c>
      <c r="E88" t="str">
        <f>UPPER(SUBSTITUTE(番明[[#This Row],[ご請求番号]],"-",""))</f>
        <v/>
      </c>
      <c r="F88" t="str">
        <f>keiyakuid076&amp;""</f>
        <v/>
      </c>
      <c r="G88">
        <f>IF(companyyn076="既存コードに追加",1,0)</f>
        <v>0</v>
      </c>
      <c r="H88" t="str">
        <f>companycode076&amp;""</f>
        <v/>
      </c>
      <c r="I88" t="str">
        <f>IF(accelikkatsu076="","希望しない",accelikkatsu076)</f>
        <v>希望しない</v>
      </c>
      <c r="J88" t="str">
        <f>IF(belugabunyn076="","なし",belugabunyn076)</f>
        <v>なし</v>
      </c>
      <c r="K88" t="str">
        <f>belugabun076&amp;""</f>
        <v/>
      </c>
      <c r="L88" t="b">
        <f>shutoku076</f>
        <v>0</v>
      </c>
    </row>
    <row r="89" spans="1:12">
      <c r="A89">
        <v>77</v>
      </c>
      <c r="B89" t="str">
        <f>IF(moushikubun077="","追加",moushikubun077)</f>
        <v>追加</v>
      </c>
      <c r="C89" t="str">
        <f>shubetsu077&amp;""</f>
        <v/>
      </c>
      <c r="D89" t="str">
        <f>billid077&amp;""</f>
        <v/>
      </c>
      <c r="E89" t="str">
        <f>UPPER(SUBSTITUTE(番明[[#This Row],[ご請求番号]],"-",""))</f>
        <v/>
      </c>
      <c r="F89" t="str">
        <f>keiyakuid077&amp;""</f>
        <v/>
      </c>
      <c r="G89">
        <f>IF(companyyn077="既存コードに追加",1,0)</f>
        <v>0</v>
      </c>
      <c r="H89" t="str">
        <f>companycode077&amp;""</f>
        <v/>
      </c>
      <c r="I89" t="str">
        <f>IF(accelikkatsu077="","希望しない",accelikkatsu077)</f>
        <v>希望しない</v>
      </c>
      <c r="J89" t="str">
        <f>IF(belugabunyn077="","なし",belugabunyn077)</f>
        <v>なし</v>
      </c>
      <c r="K89" t="str">
        <f>belugabun077&amp;""</f>
        <v/>
      </c>
      <c r="L89" t="b">
        <f>shutoku077</f>
        <v>0</v>
      </c>
    </row>
    <row r="90" spans="1:12">
      <c r="A90">
        <v>78</v>
      </c>
      <c r="B90" t="str">
        <f>IF(moushikubun078="","追加",moushikubun078)</f>
        <v>追加</v>
      </c>
      <c r="C90" t="str">
        <f>shubetsu078&amp;""</f>
        <v/>
      </c>
      <c r="D90" t="str">
        <f>billid078&amp;""</f>
        <v/>
      </c>
      <c r="E90" t="str">
        <f>UPPER(SUBSTITUTE(番明[[#This Row],[ご請求番号]],"-",""))</f>
        <v/>
      </c>
      <c r="F90" t="str">
        <f>keiyakuid078&amp;""</f>
        <v/>
      </c>
      <c r="G90">
        <f>IF(companyyn078="既存コードに追加",1,0)</f>
        <v>0</v>
      </c>
      <c r="H90" t="str">
        <f>companycode078&amp;""</f>
        <v/>
      </c>
      <c r="I90" t="str">
        <f>IF(accelikkatsu078="","希望しない",accelikkatsu078)</f>
        <v>希望しない</v>
      </c>
      <c r="J90" t="str">
        <f>IF(belugabunyn078="","なし",belugabunyn078)</f>
        <v>なし</v>
      </c>
      <c r="K90" t="str">
        <f>belugabun078&amp;""</f>
        <v/>
      </c>
      <c r="L90" t="b">
        <f>shutoku078</f>
        <v>0</v>
      </c>
    </row>
    <row r="91" spans="1:12">
      <c r="A91">
        <v>79</v>
      </c>
      <c r="B91" t="str">
        <f>IF(moushikubun079="","追加",moushikubun079)</f>
        <v>追加</v>
      </c>
      <c r="C91" t="str">
        <f>shubetsu079&amp;""</f>
        <v/>
      </c>
      <c r="D91" t="str">
        <f>billid079&amp;""</f>
        <v/>
      </c>
      <c r="E91" t="str">
        <f>UPPER(SUBSTITUTE(番明[[#This Row],[ご請求番号]],"-",""))</f>
        <v/>
      </c>
      <c r="F91" t="str">
        <f>keiyakuid079&amp;""</f>
        <v/>
      </c>
      <c r="G91">
        <f>IF(companyyn079="既存コードに追加",1,0)</f>
        <v>0</v>
      </c>
      <c r="H91" t="str">
        <f>companycode079&amp;""</f>
        <v/>
      </c>
      <c r="I91" t="str">
        <f>IF(accelikkatsu079="","希望しない",accelikkatsu079)</f>
        <v>希望しない</v>
      </c>
      <c r="J91" t="str">
        <f>IF(belugabunyn079="","なし",belugabunyn079)</f>
        <v>なし</v>
      </c>
      <c r="K91" t="str">
        <f>belugabun079&amp;""</f>
        <v/>
      </c>
      <c r="L91" t="b">
        <f>shutoku079</f>
        <v>0</v>
      </c>
    </row>
    <row r="92" spans="1:12">
      <c r="A92">
        <v>80</v>
      </c>
      <c r="B92" t="str">
        <f>IF(moushikubun080="","追加",moushikubun080)</f>
        <v>追加</v>
      </c>
      <c r="C92" t="str">
        <f>shubetsu080&amp;""</f>
        <v/>
      </c>
      <c r="D92" t="str">
        <f>billid080&amp;""</f>
        <v/>
      </c>
      <c r="E92" t="str">
        <f>UPPER(SUBSTITUTE(番明[[#This Row],[ご請求番号]],"-",""))</f>
        <v/>
      </c>
      <c r="F92" t="str">
        <f>keiyakuid080&amp;""</f>
        <v/>
      </c>
      <c r="G92">
        <f>IF(companyyn080="既存コードに追加",1,0)</f>
        <v>0</v>
      </c>
      <c r="H92" t="str">
        <f>companycode080&amp;""</f>
        <v/>
      </c>
      <c r="I92" t="str">
        <f>IF(accelikkatsu080="","希望しない",accelikkatsu080)</f>
        <v>希望しない</v>
      </c>
      <c r="J92" t="str">
        <f>IF(belugabunyn080="","なし",belugabunyn080)</f>
        <v>なし</v>
      </c>
      <c r="K92" t="str">
        <f>belugabun080&amp;""</f>
        <v/>
      </c>
      <c r="L92" t="b">
        <f>shutoku080</f>
        <v>0</v>
      </c>
    </row>
    <row r="93" spans="1:12">
      <c r="A93">
        <v>81</v>
      </c>
      <c r="B93" t="str">
        <f>IF(moushikubun081="","追加",moushikubun081)</f>
        <v>追加</v>
      </c>
      <c r="C93" t="str">
        <f>shubetsu081&amp;""</f>
        <v/>
      </c>
      <c r="D93" t="str">
        <f>billid081&amp;""</f>
        <v/>
      </c>
      <c r="E93" t="str">
        <f>UPPER(SUBSTITUTE(番明[[#This Row],[ご請求番号]],"-",""))</f>
        <v/>
      </c>
      <c r="F93" t="str">
        <f>keiyakuid081&amp;""</f>
        <v/>
      </c>
      <c r="G93">
        <f>IF(companyyn081="既存コードに追加",1,0)</f>
        <v>0</v>
      </c>
      <c r="H93" t="str">
        <f>companycode081&amp;""</f>
        <v/>
      </c>
      <c r="I93" t="str">
        <f>IF(accelikkatsu081="","希望しない",accelikkatsu081)</f>
        <v>希望しない</v>
      </c>
      <c r="J93" t="str">
        <f>IF(belugabunyn081="","なし",belugabunyn081)</f>
        <v>なし</v>
      </c>
      <c r="K93" t="str">
        <f>belugabun081&amp;""</f>
        <v/>
      </c>
      <c r="L93" t="b">
        <f>shutoku081</f>
        <v>0</v>
      </c>
    </row>
    <row r="94" spans="1:12">
      <c r="A94">
        <v>82</v>
      </c>
      <c r="B94" t="str">
        <f>IF(moushikubun082="","追加",moushikubun082)</f>
        <v>追加</v>
      </c>
      <c r="C94" t="str">
        <f>shubetsu082&amp;""</f>
        <v/>
      </c>
      <c r="D94" t="str">
        <f>billid082&amp;""</f>
        <v/>
      </c>
      <c r="E94" t="str">
        <f>UPPER(SUBSTITUTE(番明[[#This Row],[ご請求番号]],"-",""))</f>
        <v/>
      </c>
      <c r="F94" t="str">
        <f>keiyakuid082&amp;""</f>
        <v/>
      </c>
      <c r="G94">
        <f>IF(companyyn082="既存コードに追加",1,0)</f>
        <v>0</v>
      </c>
      <c r="H94" t="str">
        <f>companycode082&amp;""</f>
        <v/>
      </c>
      <c r="I94" t="str">
        <f>IF(accelikkatsu082="","希望しない",accelikkatsu082)</f>
        <v>希望しない</v>
      </c>
      <c r="J94" t="str">
        <f>IF(belugabunyn082="","なし",belugabunyn082)</f>
        <v>なし</v>
      </c>
      <c r="K94" t="str">
        <f>belugabun082&amp;""</f>
        <v/>
      </c>
      <c r="L94" t="b">
        <f>shutoku082</f>
        <v>0</v>
      </c>
    </row>
    <row r="95" spans="1:12">
      <c r="A95">
        <v>83</v>
      </c>
      <c r="B95" t="str">
        <f>IF(moushikubun083="","追加",moushikubun083)</f>
        <v>追加</v>
      </c>
      <c r="C95" t="str">
        <f>shubetsu083&amp;""</f>
        <v/>
      </c>
      <c r="D95" t="str">
        <f>billid083&amp;""</f>
        <v/>
      </c>
      <c r="E95" t="str">
        <f>UPPER(SUBSTITUTE(番明[[#This Row],[ご請求番号]],"-",""))</f>
        <v/>
      </c>
      <c r="F95" t="str">
        <f>keiyakuid083&amp;""</f>
        <v/>
      </c>
      <c r="G95">
        <f>IF(companyyn083="既存コードに追加",1,0)</f>
        <v>0</v>
      </c>
      <c r="H95" t="str">
        <f>companycode083&amp;""</f>
        <v/>
      </c>
      <c r="I95" t="str">
        <f>IF(accelikkatsu083="","希望しない",accelikkatsu083)</f>
        <v>希望しない</v>
      </c>
      <c r="J95" t="str">
        <f>IF(belugabunyn083="","なし",belugabunyn083)</f>
        <v>なし</v>
      </c>
      <c r="K95" t="str">
        <f>belugabun083&amp;""</f>
        <v/>
      </c>
      <c r="L95" t="b">
        <f>shutoku083</f>
        <v>0</v>
      </c>
    </row>
    <row r="96" spans="1:12">
      <c r="A96">
        <v>84</v>
      </c>
      <c r="B96" t="str">
        <f>IF(moushikubun084="","追加",moushikubun084)</f>
        <v>追加</v>
      </c>
      <c r="C96" t="str">
        <f>shubetsu084&amp;""</f>
        <v/>
      </c>
      <c r="D96" t="str">
        <f>billid084&amp;""</f>
        <v/>
      </c>
      <c r="E96" t="str">
        <f>UPPER(SUBSTITUTE(番明[[#This Row],[ご請求番号]],"-",""))</f>
        <v/>
      </c>
      <c r="F96" t="str">
        <f>keiyakuid084&amp;""</f>
        <v/>
      </c>
      <c r="G96">
        <f>IF(companyyn084="既存コードに追加",1,0)</f>
        <v>0</v>
      </c>
      <c r="H96" t="str">
        <f>companycode084&amp;""</f>
        <v/>
      </c>
      <c r="I96" t="str">
        <f>IF(accelikkatsu084="","希望しない",accelikkatsu084)</f>
        <v>希望しない</v>
      </c>
      <c r="J96" t="str">
        <f>IF(belugabunyn084="","なし",belugabunyn084)</f>
        <v>なし</v>
      </c>
      <c r="K96" t="str">
        <f>belugabun084&amp;""</f>
        <v/>
      </c>
      <c r="L96" t="b">
        <f>shutoku084</f>
        <v>0</v>
      </c>
    </row>
    <row r="97" spans="1:12">
      <c r="A97">
        <v>85</v>
      </c>
      <c r="B97" t="str">
        <f>IF(moushikubun085="","追加",moushikubun085)</f>
        <v>追加</v>
      </c>
      <c r="C97" t="str">
        <f>shubetsu085&amp;""</f>
        <v/>
      </c>
      <c r="D97" t="str">
        <f>billid085&amp;""</f>
        <v/>
      </c>
      <c r="E97" t="str">
        <f>UPPER(SUBSTITUTE(番明[[#This Row],[ご請求番号]],"-",""))</f>
        <v/>
      </c>
      <c r="F97" t="str">
        <f>keiyakuid085&amp;""</f>
        <v/>
      </c>
      <c r="G97">
        <f>IF(companyyn085="既存コードに追加",1,0)</f>
        <v>0</v>
      </c>
      <c r="H97" t="str">
        <f>companycode085&amp;""</f>
        <v/>
      </c>
      <c r="I97" t="str">
        <f>IF(accelikkatsu085="","希望しない",accelikkatsu085)</f>
        <v>希望しない</v>
      </c>
      <c r="J97" t="str">
        <f>IF(belugabunyn085="","なし",belugabunyn085)</f>
        <v>なし</v>
      </c>
      <c r="K97" t="str">
        <f>belugabun085&amp;""</f>
        <v/>
      </c>
      <c r="L97" t="b">
        <f>shutoku085</f>
        <v>0</v>
      </c>
    </row>
    <row r="98" spans="1:12">
      <c r="A98">
        <v>86</v>
      </c>
      <c r="B98" t="str">
        <f>IF(moushikubun086="","追加",moushikubun086)</f>
        <v>追加</v>
      </c>
      <c r="C98" t="str">
        <f>shubetsu086&amp;""</f>
        <v/>
      </c>
      <c r="D98" t="str">
        <f>billid086&amp;""</f>
        <v/>
      </c>
      <c r="E98" t="str">
        <f>UPPER(SUBSTITUTE(番明[[#This Row],[ご請求番号]],"-",""))</f>
        <v/>
      </c>
      <c r="F98" t="str">
        <f>keiyakuid086&amp;""</f>
        <v/>
      </c>
      <c r="G98">
        <f>IF(companyyn086="既存コードに追加",1,0)</f>
        <v>0</v>
      </c>
      <c r="H98" t="str">
        <f>companycode086&amp;""</f>
        <v/>
      </c>
      <c r="I98" t="str">
        <f>IF(accelikkatsu086="","希望しない",accelikkatsu086)</f>
        <v>希望しない</v>
      </c>
      <c r="J98" t="str">
        <f>IF(belugabunyn086="","なし",belugabunyn086)</f>
        <v>なし</v>
      </c>
      <c r="K98" t="str">
        <f>belugabun086&amp;""</f>
        <v/>
      </c>
      <c r="L98" t="b">
        <f>shutoku086</f>
        <v>0</v>
      </c>
    </row>
    <row r="99" spans="1:12">
      <c r="A99">
        <v>87</v>
      </c>
      <c r="B99" t="str">
        <f>IF(moushikubun087="","追加",moushikubun087)</f>
        <v>追加</v>
      </c>
      <c r="C99" t="str">
        <f>shubetsu087&amp;""</f>
        <v/>
      </c>
      <c r="D99" t="str">
        <f>billid087&amp;""</f>
        <v/>
      </c>
      <c r="E99" t="str">
        <f>UPPER(SUBSTITUTE(番明[[#This Row],[ご請求番号]],"-",""))</f>
        <v/>
      </c>
      <c r="F99" t="str">
        <f>keiyakuid087&amp;""</f>
        <v/>
      </c>
      <c r="G99">
        <f>IF(companyyn087="既存コードに追加",1,0)</f>
        <v>0</v>
      </c>
      <c r="H99" t="str">
        <f>companycode087&amp;""</f>
        <v/>
      </c>
      <c r="I99" t="str">
        <f>IF(accelikkatsu087="","希望しない",accelikkatsu087)</f>
        <v>希望しない</v>
      </c>
      <c r="J99" t="str">
        <f>IF(belugabunyn087="","なし",belugabunyn087)</f>
        <v>なし</v>
      </c>
      <c r="K99" t="str">
        <f>belugabun087&amp;""</f>
        <v/>
      </c>
      <c r="L99" t="b">
        <f>shutoku087</f>
        <v>0</v>
      </c>
    </row>
    <row r="100" spans="1:12">
      <c r="A100">
        <v>88</v>
      </c>
      <c r="B100" t="str">
        <f>IF(moushikubun088="","追加",moushikubun088)</f>
        <v>追加</v>
      </c>
      <c r="C100" t="str">
        <f>shubetsu088&amp;""</f>
        <v/>
      </c>
      <c r="D100" t="str">
        <f>billid088&amp;""</f>
        <v/>
      </c>
      <c r="E100" t="str">
        <f>UPPER(SUBSTITUTE(番明[[#This Row],[ご請求番号]],"-",""))</f>
        <v/>
      </c>
      <c r="F100" t="str">
        <f>keiyakuid088&amp;""</f>
        <v/>
      </c>
      <c r="G100">
        <f>IF(companyyn088="既存コードに追加",1,0)</f>
        <v>0</v>
      </c>
      <c r="H100" t="str">
        <f>companycode088&amp;""</f>
        <v/>
      </c>
      <c r="I100" t="str">
        <f>IF(accelikkatsu088="","希望しない",accelikkatsu088)</f>
        <v>希望しない</v>
      </c>
      <c r="J100" t="str">
        <f>IF(belugabunyn088="","なし",belugabunyn088)</f>
        <v>なし</v>
      </c>
      <c r="K100" t="str">
        <f>belugabun088&amp;""</f>
        <v/>
      </c>
      <c r="L100" t="b">
        <f>shutoku088</f>
        <v>0</v>
      </c>
    </row>
    <row r="101" spans="1:12">
      <c r="A101">
        <v>89</v>
      </c>
      <c r="B101" t="str">
        <f>IF(moushikubun089="","追加",moushikubun089)</f>
        <v>追加</v>
      </c>
      <c r="C101" t="str">
        <f>shubetsu089&amp;""</f>
        <v/>
      </c>
      <c r="D101" t="str">
        <f>billid089&amp;""</f>
        <v/>
      </c>
      <c r="E101" t="str">
        <f>UPPER(SUBSTITUTE(番明[[#This Row],[ご請求番号]],"-",""))</f>
        <v/>
      </c>
      <c r="F101" t="str">
        <f>keiyakuid089&amp;""</f>
        <v/>
      </c>
      <c r="G101">
        <f>IF(companyyn089="既存コードに追加",1,0)</f>
        <v>0</v>
      </c>
      <c r="H101" t="str">
        <f>companycode089&amp;""</f>
        <v/>
      </c>
      <c r="I101" t="str">
        <f>IF(accelikkatsu089="","希望しない",accelikkatsu089)</f>
        <v>希望しない</v>
      </c>
      <c r="J101" t="str">
        <f>IF(belugabunyn089="","なし",belugabunyn089)</f>
        <v>なし</v>
      </c>
      <c r="K101" t="str">
        <f>belugabun089&amp;""</f>
        <v/>
      </c>
      <c r="L101" t="b">
        <f>shutoku089</f>
        <v>0</v>
      </c>
    </row>
    <row r="102" spans="1:12">
      <c r="A102">
        <v>90</v>
      </c>
      <c r="B102" t="str">
        <f>IF(moushikubun090="","追加",moushikubun090)</f>
        <v>追加</v>
      </c>
      <c r="C102" t="str">
        <f>shubetsu090&amp;""</f>
        <v/>
      </c>
      <c r="D102" t="str">
        <f>billid090&amp;""</f>
        <v/>
      </c>
      <c r="E102" t="str">
        <f>UPPER(SUBSTITUTE(番明[[#This Row],[ご請求番号]],"-",""))</f>
        <v/>
      </c>
      <c r="F102" t="str">
        <f>keiyakuid090&amp;""</f>
        <v/>
      </c>
      <c r="G102">
        <f>IF(companyyn090="既存コードに追加",1,0)</f>
        <v>0</v>
      </c>
      <c r="H102" t="str">
        <f>companycode090&amp;""</f>
        <v/>
      </c>
      <c r="I102" t="str">
        <f>IF(accelikkatsu090="","希望しない",accelikkatsu090)</f>
        <v>希望しない</v>
      </c>
      <c r="J102" t="str">
        <f>IF(belugabunyn090="","なし",belugabunyn090)</f>
        <v>なし</v>
      </c>
      <c r="K102" t="str">
        <f>belugabun090&amp;""</f>
        <v/>
      </c>
      <c r="L102" t="b">
        <f>shutoku090</f>
        <v>0</v>
      </c>
    </row>
    <row r="103" spans="1:12">
      <c r="A103">
        <v>91</v>
      </c>
      <c r="B103" t="str">
        <f>IF(moushikubun091="","追加",moushikubun091)</f>
        <v>追加</v>
      </c>
      <c r="C103" t="str">
        <f>shubetsu091&amp;""</f>
        <v/>
      </c>
      <c r="D103" t="str">
        <f>billid091&amp;""</f>
        <v/>
      </c>
      <c r="E103" t="str">
        <f>UPPER(SUBSTITUTE(番明[[#This Row],[ご請求番号]],"-",""))</f>
        <v/>
      </c>
      <c r="F103" t="str">
        <f>keiyakuid091&amp;""</f>
        <v/>
      </c>
      <c r="G103">
        <f>IF(companyyn091="既存コードに追加",1,0)</f>
        <v>0</v>
      </c>
      <c r="H103" t="str">
        <f>companycode091&amp;""</f>
        <v/>
      </c>
      <c r="I103" t="str">
        <f>IF(accelikkatsu091="","希望しない",accelikkatsu091)</f>
        <v>希望しない</v>
      </c>
      <c r="J103" t="str">
        <f>IF(belugabunyn091="","なし",belugabunyn091)</f>
        <v>なし</v>
      </c>
      <c r="K103" t="str">
        <f>belugabun091&amp;""</f>
        <v/>
      </c>
      <c r="L103" t="b">
        <f>shutoku091</f>
        <v>0</v>
      </c>
    </row>
    <row r="104" spans="1:12">
      <c r="A104">
        <v>92</v>
      </c>
      <c r="B104" t="str">
        <f>IF(moushikubun092="","追加",moushikubun092)</f>
        <v>追加</v>
      </c>
      <c r="C104" t="str">
        <f>shubetsu092&amp;""</f>
        <v/>
      </c>
      <c r="D104" t="str">
        <f>billid092&amp;""</f>
        <v/>
      </c>
      <c r="E104" t="str">
        <f>UPPER(SUBSTITUTE(番明[[#This Row],[ご請求番号]],"-",""))</f>
        <v/>
      </c>
      <c r="F104" t="str">
        <f>keiyakuid092&amp;""</f>
        <v/>
      </c>
      <c r="G104">
        <f>IF(companyyn092="既存コードに追加",1,0)</f>
        <v>0</v>
      </c>
      <c r="H104" t="str">
        <f>companycode092&amp;""</f>
        <v/>
      </c>
      <c r="I104" t="str">
        <f>IF(accelikkatsu092="","希望しない",accelikkatsu092)</f>
        <v>希望しない</v>
      </c>
      <c r="J104" t="str">
        <f>IF(belugabunyn092="","なし",belugabunyn092)</f>
        <v>なし</v>
      </c>
      <c r="K104" t="str">
        <f>belugabun092&amp;""</f>
        <v/>
      </c>
      <c r="L104" t="b">
        <f>shutoku092</f>
        <v>0</v>
      </c>
    </row>
    <row r="105" spans="1:12">
      <c r="A105">
        <v>93</v>
      </c>
      <c r="B105" t="str">
        <f>IF(moushikubun093="","追加",moushikubun093)</f>
        <v>追加</v>
      </c>
      <c r="C105" t="str">
        <f>shubetsu093&amp;""</f>
        <v/>
      </c>
      <c r="D105" t="str">
        <f>billid093&amp;""</f>
        <v/>
      </c>
      <c r="E105" t="str">
        <f>UPPER(SUBSTITUTE(番明[[#This Row],[ご請求番号]],"-",""))</f>
        <v/>
      </c>
      <c r="F105" t="str">
        <f>keiyakuid093&amp;""</f>
        <v/>
      </c>
      <c r="G105">
        <f>IF(companyyn093="既存コードに追加",1,0)</f>
        <v>0</v>
      </c>
      <c r="H105" t="str">
        <f>companycode093&amp;""</f>
        <v/>
      </c>
      <c r="I105" t="str">
        <f>IF(accelikkatsu093="","希望しない",accelikkatsu093)</f>
        <v>希望しない</v>
      </c>
      <c r="J105" t="str">
        <f>IF(belugabunyn093="","なし",belugabunyn093)</f>
        <v>なし</v>
      </c>
      <c r="K105" t="str">
        <f>belugabun093&amp;""</f>
        <v/>
      </c>
      <c r="L105" t="b">
        <f>shutoku093</f>
        <v>0</v>
      </c>
    </row>
    <row r="106" spans="1:12">
      <c r="A106">
        <v>94</v>
      </c>
      <c r="B106" t="str">
        <f>IF(moushikubun094="","追加",moushikubun094)</f>
        <v>追加</v>
      </c>
      <c r="C106" t="str">
        <f>shubetsu094&amp;""</f>
        <v/>
      </c>
      <c r="D106" t="str">
        <f>billid094&amp;""</f>
        <v/>
      </c>
      <c r="E106" t="str">
        <f>UPPER(SUBSTITUTE(番明[[#This Row],[ご請求番号]],"-",""))</f>
        <v/>
      </c>
      <c r="F106" t="str">
        <f>keiyakuid094&amp;""</f>
        <v/>
      </c>
      <c r="G106">
        <f>IF(companyyn094="既存コードに追加",1,0)</f>
        <v>0</v>
      </c>
      <c r="H106" t="str">
        <f>companycode094&amp;""</f>
        <v/>
      </c>
      <c r="I106" t="str">
        <f>IF(accelikkatsu094="","希望しない",accelikkatsu094)</f>
        <v>希望しない</v>
      </c>
      <c r="J106" t="str">
        <f>IF(belugabunyn094="","なし",belugabunyn094)</f>
        <v>なし</v>
      </c>
      <c r="K106" t="str">
        <f>belugabun094&amp;""</f>
        <v/>
      </c>
      <c r="L106" t="b">
        <f>shutoku094</f>
        <v>0</v>
      </c>
    </row>
    <row r="107" spans="1:12">
      <c r="A107">
        <v>95</v>
      </c>
      <c r="B107" t="str">
        <f>IF(moushikubun095="","追加",moushikubun095)</f>
        <v>追加</v>
      </c>
      <c r="C107" t="str">
        <f>shubetsu095&amp;""</f>
        <v/>
      </c>
      <c r="D107" t="str">
        <f>billid095&amp;""</f>
        <v/>
      </c>
      <c r="E107" t="str">
        <f>UPPER(SUBSTITUTE(番明[[#This Row],[ご請求番号]],"-",""))</f>
        <v/>
      </c>
      <c r="F107" t="str">
        <f>keiyakuid095&amp;""</f>
        <v/>
      </c>
      <c r="G107">
        <f>IF(companyyn095="既存コードに追加",1,0)</f>
        <v>0</v>
      </c>
      <c r="H107" t="str">
        <f>companycode095&amp;""</f>
        <v/>
      </c>
      <c r="I107" t="str">
        <f>IF(accelikkatsu095="","希望しない",accelikkatsu095)</f>
        <v>希望しない</v>
      </c>
      <c r="J107" t="str">
        <f>IF(belugabunyn095="","なし",belugabunyn095)</f>
        <v>なし</v>
      </c>
      <c r="K107" t="str">
        <f>belugabun095&amp;""</f>
        <v/>
      </c>
      <c r="L107" t="b">
        <f>shutoku095</f>
        <v>0</v>
      </c>
    </row>
    <row r="108" spans="1:12">
      <c r="A108">
        <v>96</v>
      </c>
      <c r="B108" t="str">
        <f>IF(moushikubun096="","追加",moushikubun096)</f>
        <v>追加</v>
      </c>
      <c r="C108" t="str">
        <f>shubetsu096&amp;""</f>
        <v/>
      </c>
      <c r="D108" t="str">
        <f>billid096&amp;""</f>
        <v/>
      </c>
      <c r="E108" t="str">
        <f>UPPER(SUBSTITUTE(番明[[#This Row],[ご請求番号]],"-",""))</f>
        <v/>
      </c>
      <c r="F108" t="str">
        <f>keiyakuid096&amp;""</f>
        <v/>
      </c>
      <c r="G108">
        <f>IF(companyyn096="既存コードに追加",1,0)</f>
        <v>0</v>
      </c>
      <c r="H108" t="str">
        <f>companycode096&amp;""</f>
        <v/>
      </c>
      <c r="I108" t="str">
        <f>IF(accelikkatsu096="","希望しない",accelikkatsu096)</f>
        <v>希望しない</v>
      </c>
      <c r="J108" t="str">
        <f>IF(belugabunyn096="","なし",belugabunyn096)</f>
        <v>なし</v>
      </c>
      <c r="K108" t="str">
        <f>belugabun096&amp;""</f>
        <v/>
      </c>
      <c r="L108" t="b">
        <f>shutoku096</f>
        <v>0</v>
      </c>
    </row>
    <row r="109" spans="1:12">
      <c r="A109">
        <v>97</v>
      </c>
      <c r="B109" t="str">
        <f>IF(moushikubun097="","追加",moushikubun097)</f>
        <v>追加</v>
      </c>
      <c r="C109" t="str">
        <f>shubetsu097&amp;""</f>
        <v/>
      </c>
      <c r="D109" t="str">
        <f>billid097&amp;""</f>
        <v/>
      </c>
      <c r="E109" t="str">
        <f>UPPER(SUBSTITUTE(番明[[#This Row],[ご請求番号]],"-",""))</f>
        <v/>
      </c>
      <c r="F109" t="str">
        <f>keiyakuid097&amp;""</f>
        <v/>
      </c>
      <c r="G109">
        <f>IF(companyyn097="既存コードに追加",1,0)</f>
        <v>0</v>
      </c>
      <c r="H109" t="str">
        <f>companycode097&amp;""</f>
        <v/>
      </c>
      <c r="I109" t="str">
        <f>IF(accelikkatsu097="","希望しない",accelikkatsu097)</f>
        <v>希望しない</v>
      </c>
      <c r="J109" t="str">
        <f>IF(belugabunyn097="","なし",belugabunyn097)</f>
        <v>なし</v>
      </c>
      <c r="K109" t="str">
        <f>belugabun097&amp;""</f>
        <v/>
      </c>
      <c r="L109" t="b">
        <f>shutoku097</f>
        <v>0</v>
      </c>
    </row>
    <row r="110" spans="1:12">
      <c r="A110">
        <v>98</v>
      </c>
      <c r="B110" t="str">
        <f>IF(moushikubun098="","追加",moushikubun098)</f>
        <v>追加</v>
      </c>
      <c r="C110" t="str">
        <f>shubetsu098&amp;""</f>
        <v/>
      </c>
      <c r="D110" t="str">
        <f>billid098&amp;""</f>
        <v/>
      </c>
      <c r="E110" t="str">
        <f>UPPER(SUBSTITUTE(番明[[#This Row],[ご請求番号]],"-",""))</f>
        <v/>
      </c>
      <c r="F110" t="str">
        <f>keiyakuid098&amp;""</f>
        <v/>
      </c>
      <c r="G110">
        <f>IF(companyyn098="既存コードに追加",1,0)</f>
        <v>0</v>
      </c>
      <c r="H110" t="str">
        <f>companycode098&amp;""</f>
        <v/>
      </c>
      <c r="I110" t="str">
        <f>IF(accelikkatsu098="","希望しない",accelikkatsu098)</f>
        <v>希望しない</v>
      </c>
      <c r="J110" t="str">
        <f>IF(belugabunyn098="","なし",belugabunyn098)</f>
        <v>なし</v>
      </c>
      <c r="K110" t="str">
        <f>belugabun098&amp;""</f>
        <v/>
      </c>
      <c r="L110" t="b">
        <f>shutoku098</f>
        <v>0</v>
      </c>
    </row>
    <row r="111" spans="1:12">
      <c r="A111">
        <v>99</v>
      </c>
      <c r="B111" t="str">
        <f>IF(moushikubun099="","追加",moushikubun099)</f>
        <v>追加</v>
      </c>
      <c r="C111" t="str">
        <f>shubetsu099&amp;""</f>
        <v/>
      </c>
      <c r="D111" t="str">
        <f>billid099&amp;""</f>
        <v/>
      </c>
      <c r="E111" t="str">
        <f>UPPER(SUBSTITUTE(番明[[#This Row],[ご請求番号]],"-",""))</f>
        <v/>
      </c>
      <c r="F111" t="str">
        <f>keiyakuid099&amp;""</f>
        <v/>
      </c>
      <c r="G111">
        <f>IF(companyyn099="既存コードに追加",1,0)</f>
        <v>0</v>
      </c>
      <c r="H111" t="str">
        <f>companycode099&amp;""</f>
        <v/>
      </c>
      <c r="I111" t="str">
        <f>IF(accelikkatsu099="","希望しない",accelikkatsu099)</f>
        <v>希望しない</v>
      </c>
      <c r="J111" t="str">
        <f>IF(belugabunyn099="","なし",belugabunyn099)</f>
        <v>なし</v>
      </c>
      <c r="K111" t="str">
        <f>belugabun099&amp;""</f>
        <v/>
      </c>
      <c r="L111" t="b">
        <f>shutoku099</f>
        <v>0</v>
      </c>
    </row>
    <row r="112" spans="1:12">
      <c r="A112">
        <v>100</v>
      </c>
      <c r="B112" t="str">
        <f>IF(moushikubun100="","追加",moushikubun100)</f>
        <v>追加</v>
      </c>
      <c r="C112" t="str">
        <f>shubetsu100&amp;""</f>
        <v/>
      </c>
      <c r="D112" t="str">
        <f>billid100&amp;""</f>
        <v/>
      </c>
      <c r="E112" t="str">
        <f>UPPER(SUBSTITUTE(番明[[#This Row],[ご請求番号]],"-",""))</f>
        <v/>
      </c>
      <c r="F112" t="str">
        <f>keiyakuid100&amp;""</f>
        <v/>
      </c>
      <c r="G112">
        <f>IF(companyyn100="既存コードに追加",1,0)</f>
        <v>0</v>
      </c>
      <c r="H112" t="str">
        <f>companycode100&amp;""</f>
        <v/>
      </c>
      <c r="I112" t="str">
        <f>IF(accelikkatsu100="","希望しない",accelikkatsu100)</f>
        <v>希望しない</v>
      </c>
      <c r="J112" t="str">
        <f>IF(belugabunyn100="","なし",belugabunyn100)</f>
        <v>なし</v>
      </c>
      <c r="K112" t="str">
        <f>belugabun100&amp;""</f>
        <v/>
      </c>
      <c r="L112" t="b">
        <f>shutoku100</f>
        <v>0</v>
      </c>
    </row>
    <row r="113" spans="1:12">
      <c r="A113">
        <v>101</v>
      </c>
      <c r="B113" t="str">
        <f>IF(moushikubun101="","追加",moushikubun101)</f>
        <v>追加</v>
      </c>
      <c r="C113" t="str">
        <f>shubetsu101&amp;""</f>
        <v/>
      </c>
      <c r="D113" t="str">
        <f>billid101&amp;""</f>
        <v/>
      </c>
      <c r="E113" t="str">
        <f>UPPER(SUBSTITUTE(番明[[#This Row],[ご請求番号]],"-",""))</f>
        <v/>
      </c>
      <c r="F113" t="str">
        <f>keiyakuid101&amp;""</f>
        <v/>
      </c>
      <c r="G113">
        <f>IF(companyyn101="既存コードに追加",1,0)</f>
        <v>0</v>
      </c>
      <c r="H113" t="str">
        <f>companycode101&amp;""</f>
        <v/>
      </c>
      <c r="I113" t="str">
        <f>IF(accelikkatsu101="","希望しない",accelikkatsu101)</f>
        <v>希望しない</v>
      </c>
      <c r="J113" t="str">
        <f>IF(belugabunyn101="","なし",belugabunyn101)</f>
        <v>なし</v>
      </c>
      <c r="K113" t="str">
        <f>belugabun101&amp;""</f>
        <v/>
      </c>
      <c r="L113" t="b">
        <f>shutoku101</f>
        <v>0</v>
      </c>
    </row>
    <row r="114" spans="1:12">
      <c r="A114">
        <v>102</v>
      </c>
      <c r="B114" t="str">
        <f>IF(moushikubun102="","追加",moushikubun102)</f>
        <v>追加</v>
      </c>
      <c r="C114" t="str">
        <f>shubetsu102&amp;""</f>
        <v/>
      </c>
      <c r="D114" t="str">
        <f>billid102&amp;""</f>
        <v/>
      </c>
      <c r="E114" t="str">
        <f>UPPER(SUBSTITUTE(番明[[#This Row],[ご請求番号]],"-",""))</f>
        <v/>
      </c>
      <c r="F114" t="str">
        <f>keiyakuid102&amp;""</f>
        <v/>
      </c>
      <c r="G114">
        <f>IF(companyyn102="既存コードに追加",1,0)</f>
        <v>0</v>
      </c>
      <c r="H114" t="str">
        <f>companycode102&amp;""</f>
        <v/>
      </c>
      <c r="I114" t="str">
        <f>IF(accelikkatsu102="","希望しない",accelikkatsu102)</f>
        <v>希望しない</v>
      </c>
      <c r="J114" t="str">
        <f>IF(belugabunyn102="","なし",belugabunyn102)</f>
        <v>なし</v>
      </c>
      <c r="K114" t="str">
        <f>belugabun102&amp;""</f>
        <v/>
      </c>
      <c r="L114" t="b">
        <f>shutoku102</f>
        <v>0</v>
      </c>
    </row>
    <row r="115" spans="1:12">
      <c r="A115">
        <v>103</v>
      </c>
      <c r="B115" t="str">
        <f>IF(moushikubun103="","追加",moushikubun103)</f>
        <v>追加</v>
      </c>
      <c r="C115" t="str">
        <f>shubetsu103&amp;""</f>
        <v/>
      </c>
      <c r="D115" t="str">
        <f>billid103&amp;""</f>
        <v/>
      </c>
      <c r="E115" t="str">
        <f>UPPER(SUBSTITUTE(番明[[#This Row],[ご請求番号]],"-",""))</f>
        <v/>
      </c>
      <c r="F115" t="str">
        <f>keiyakuid103&amp;""</f>
        <v/>
      </c>
      <c r="G115">
        <f>IF(companyyn103="既存コードに追加",1,0)</f>
        <v>0</v>
      </c>
      <c r="H115" t="str">
        <f>companycode103&amp;""</f>
        <v/>
      </c>
      <c r="I115" t="str">
        <f>IF(accelikkatsu103="","希望しない",accelikkatsu103)</f>
        <v>希望しない</v>
      </c>
      <c r="J115" t="str">
        <f>IF(belugabunyn103="","なし",belugabunyn103)</f>
        <v>なし</v>
      </c>
      <c r="K115" t="str">
        <f>belugabun103&amp;""</f>
        <v/>
      </c>
      <c r="L115" t="b">
        <f>shutoku103</f>
        <v>0</v>
      </c>
    </row>
    <row r="116" spans="1:12">
      <c r="A116">
        <v>104</v>
      </c>
      <c r="B116" t="str">
        <f>IF(moushikubun104="","追加",moushikubun104)</f>
        <v>追加</v>
      </c>
      <c r="C116" t="str">
        <f>shubetsu104&amp;""</f>
        <v/>
      </c>
      <c r="D116" t="str">
        <f>billid104&amp;""</f>
        <v/>
      </c>
      <c r="E116" t="str">
        <f>UPPER(SUBSTITUTE(番明[[#This Row],[ご請求番号]],"-",""))</f>
        <v/>
      </c>
      <c r="F116" t="str">
        <f>keiyakuid104&amp;""</f>
        <v/>
      </c>
      <c r="G116">
        <f>IF(companyyn104="既存コードに追加",1,0)</f>
        <v>0</v>
      </c>
      <c r="H116" t="str">
        <f>companycode104&amp;""</f>
        <v/>
      </c>
      <c r="I116" t="str">
        <f>IF(accelikkatsu104="","希望しない",accelikkatsu104)</f>
        <v>希望しない</v>
      </c>
      <c r="J116" t="str">
        <f>IF(belugabunyn104="","なし",belugabunyn104)</f>
        <v>なし</v>
      </c>
      <c r="K116" t="str">
        <f>belugabun104&amp;""</f>
        <v/>
      </c>
      <c r="L116" t="b">
        <f>shutoku104</f>
        <v>0</v>
      </c>
    </row>
    <row r="117" spans="1:12">
      <c r="A117">
        <v>105</v>
      </c>
      <c r="B117" t="str">
        <f>IF(moushikubun105="","追加",moushikubun105)</f>
        <v>追加</v>
      </c>
      <c r="C117" t="str">
        <f>shubetsu105&amp;""</f>
        <v/>
      </c>
      <c r="D117" t="str">
        <f>billid105&amp;""</f>
        <v/>
      </c>
      <c r="E117" t="str">
        <f>UPPER(SUBSTITUTE(番明[[#This Row],[ご請求番号]],"-",""))</f>
        <v/>
      </c>
      <c r="F117" t="str">
        <f>keiyakuid105&amp;""</f>
        <v/>
      </c>
      <c r="G117">
        <f>IF(companyyn105="既存コードに追加",1,0)</f>
        <v>0</v>
      </c>
      <c r="H117" t="str">
        <f>companycode105&amp;""</f>
        <v/>
      </c>
      <c r="I117" t="str">
        <f>IF(accelikkatsu105="","希望しない",accelikkatsu105)</f>
        <v>希望しない</v>
      </c>
      <c r="J117" t="str">
        <f>IF(belugabunyn105="","なし",belugabunyn105)</f>
        <v>なし</v>
      </c>
      <c r="K117" t="str">
        <f>belugabun105&amp;""</f>
        <v/>
      </c>
      <c r="L117" t="b">
        <f>shutoku105</f>
        <v>0</v>
      </c>
    </row>
    <row r="118" spans="1:12">
      <c r="A118">
        <v>106</v>
      </c>
      <c r="B118" t="str">
        <f>IF(moushikubun106="","追加",moushikubun106)</f>
        <v>追加</v>
      </c>
      <c r="C118" t="str">
        <f>shubetsu106&amp;""</f>
        <v/>
      </c>
      <c r="D118" t="str">
        <f>billid106&amp;""</f>
        <v/>
      </c>
      <c r="E118" t="str">
        <f>UPPER(SUBSTITUTE(番明[[#This Row],[ご請求番号]],"-",""))</f>
        <v/>
      </c>
      <c r="F118" t="str">
        <f>keiyakuid106&amp;""</f>
        <v/>
      </c>
      <c r="G118">
        <f>IF(companyyn106="既存コードに追加",1,0)</f>
        <v>0</v>
      </c>
      <c r="H118" t="str">
        <f>companycode106&amp;""</f>
        <v/>
      </c>
      <c r="I118" t="str">
        <f>IF(accelikkatsu106="","希望しない",accelikkatsu106)</f>
        <v>希望しない</v>
      </c>
      <c r="J118" t="str">
        <f>IF(belugabunyn106="","なし",belugabunyn106)</f>
        <v>なし</v>
      </c>
      <c r="K118" t="str">
        <f>belugabun106&amp;""</f>
        <v/>
      </c>
      <c r="L118" t="b">
        <f>shutoku106</f>
        <v>0</v>
      </c>
    </row>
    <row r="119" spans="1:12">
      <c r="A119">
        <v>107</v>
      </c>
      <c r="B119" t="str">
        <f>IF(moushikubun107="","追加",moushikubun107)</f>
        <v>追加</v>
      </c>
      <c r="C119" t="str">
        <f>shubetsu107&amp;""</f>
        <v/>
      </c>
      <c r="D119" t="str">
        <f>billid107&amp;""</f>
        <v/>
      </c>
      <c r="E119" t="str">
        <f>UPPER(SUBSTITUTE(番明[[#This Row],[ご請求番号]],"-",""))</f>
        <v/>
      </c>
      <c r="F119" t="str">
        <f>keiyakuid107&amp;""</f>
        <v/>
      </c>
      <c r="G119">
        <f>IF(companyyn107="既存コードに追加",1,0)</f>
        <v>0</v>
      </c>
      <c r="H119" t="str">
        <f>companycode107&amp;""</f>
        <v/>
      </c>
      <c r="I119" t="str">
        <f>IF(accelikkatsu107="","希望しない",accelikkatsu107)</f>
        <v>希望しない</v>
      </c>
      <c r="J119" t="str">
        <f>IF(belugabunyn107="","なし",belugabunyn107)</f>
        <v>なし</v>
      </c>
      <c r="K119" t="str">
        <f>belugabun107&amp;""</f>
        <v/>
      </c>
      <c r="L119" t="b">
        <f>shutoku107</f>
        <v>0</v>
      </c>
    </row>
    <row r="120" spans="1:12">
      <c r="A120">
        <v>108</v>
      </c>
      <c r="B120" t="str">
        <f>IF(moushikubun108="","追加",moushikubun108)</f>
        <v>追加</v>
      </c>
      <c r="C120" t="str">
        <f>shubetsu108&amp;""</f>
        <v/>
      </c>
      <c r="D120" t="str">
        <f>billid108&amp;""</f>
        <v/>
      </c>
      <c r="E120" t="str">
        <f>UPPER(SUBSTITUTE(番明[[#This Row],[ご請求番号]],"-",""))</f>
        <v/>
      </c>
      <c r="F120" t="str">
        <f>keiyakuid108&amp;""</f>
        <v/>
      </c>
      <c r="G120">
        <f>IF(companyyn108="既存コードに追加",1,0)</f>
        <v>0</v>
      </c>
      <c r="H120" t="str">
        <f>companycode108&amp;""</f>
        <v/>
      </c>
      <c r="I120" t="str">
        <f>IF(accelikkatsu108="","希望しない",accelikkatsu108)</f>
        <v>希望しない</v>
      </c>
      <c r="J120" t="str">
        <f>IF(belugabunyn108="","なし",belugabunyn108)</f>
        <v>なし</v>
      </c>
      <c r="K120" t="str">
        <f>belugabun108&amp;""</f>
        <v/>
      </c>
      <c r="L120" t="b">
        <f>shutoku108</f>
        <v>0</v>
      </c>
    </row>
    <row r="121" spans="1:12">
      <c r="A121">
        <v>109</v>
      </c>
      <c r="B121" t="str">
        <f>IF(moushikubun109="","追加",moushikubun109)</f>
        <v>追加</v>
      </c>
      <c r="C121" t="str">
        <f>shubetsu109&amp;""</f>
        <v/>
      </c>
      <c r="D121" t="str">
        <f>billid109&amp;""</f>
        <v/>
      </c>
      <c r="E121" t="str">
        <f>UPPER(SUBSTITUTE(番明[[#This Row],[ご請求番号]],"-",""))</f>
        <v/>
      </c>
      <c r="F121" t="str">
        <f>keiyakuid109&amp;""</f>
        <v/>
      </c>
      <c r="G121">
        <f>IF(companyyn109="既存コードに追加",1,0)</f>
        <v>0</v>
      </c>
      <c r="H121" t="str">
        <f>companycode109&amp;""</f>
        <v/>
      </c>
      <c r="I121" t="str">
        <f>IF(accelikkatsu109="","希望しない",accelikkatsu109)</f>
        <v>希望しない</v>
      </c>
      <c r="J121" t="str">
        <f>IF(belugabunyn109="","なし",belugabunyn109)</f>
        <v>なし</v>
      </c>
      <c r="K121" t="str">
        <f>belugabun109&amp;""</f>
        <v/>
      </c>
      <c r="L121" t="b">
        <f>shutoku109</f>
        <v>0</v>
      </c>
    </row>
    <row r="122" spans="1:12">
      <c r="A122">
        <v>110</v>
      </c>
      <c r="B122" t="str">
        <f>IF(moushikubun110="","追加",moushikubun110)</f>
        <v>追加</v>
      </c>
      <c r="C122" t="str">
        <f>shubetsu110&amp;""</f>
        <v/>
      </c>
      <c r="D122" t="str">
        <f>billid110&amp;""</f>
        <v/>
      </c>
      <c r="E122" t="str">
        <f>UPPER(SUBSTITUTE(番明[[#This Row],[ご請求番号]],"-",""))</f>
        <v/>
      </c>
      <c r="F122" t="str">
        <f>keiyakuid110&amp;""</f>
        <v/>
      </c>
      <c r="G122">
        <f>IF(companyyn110="既存コードに追加",1,0)</f>
        <v>0</v>
      </c>
      <c r="H122" t="str">
        <f>companycode110&amp;""</f>
        <v/>
      </c>
      <c r="I122" t="str">
        <f>IF(accelikkatsu110="","希望しない",accelikkatsu110)</f>
        <v>希望しない</v>
      </c>
      <c r="J122" t="str">
        <f>IF(belugabunyn110="","なし",belugabunyn110)</f>
        <v>なし</v>
      </c>
      <c r="K122" t="str">
        <f>belugabun110&amp;""</f>
        <v/>
      </c>
      <c r="L122" t="b">
        <f>shutoku110</f>
        <v>0</v>
      </c>
    </row>
    <row r="123" spans="1:12">
      <c r="A123">
        <v>111</v>
      </c>
      <c r="B123" t="str">
        <f>IF(moushikubun111="","追加",moushikubun111)</f>
        <v>追加</v>
      </c>
      <c r="C123" t="str">
        <f>shubetsu111&amp;""</f>
        <v/>
      </c>
      <c r="D123" t="str">
        <f>billid111&amp;""</f>
        <v/>
      </c>
      <c r="E123" t="str">
        <f>UPPER(SUBSTITUTE(番明[[#This Row],[ご請求番号]],"-",""))</f>
        <v/>
      </c>
      <c r="F123" t="str">
        <f>keiyakuid111&amp;""</f>
        <v/>
      </c>
      <c r="G123">
        <f>IF(companyyn111="既存コードに追加",1,0)</f>
        <v>0</v>
      </c>
      <c r="H123" t="str">
        <f>companycode111&amp;""</f>
        <v/>
      </c>
      <c r="I123" t="str">
        <f>IF(accelikkatsu111="","希望しない",accelikkatsu111)</f>
        <v>希望しない</v>
      </c>
      <c r="J123" t="str">
        <f>IF(belugabunyn111="","なし",belugabunyn111)</f>
        <v>なし</v>
      </c>
      <c r="K123" t="str">
        <f>belugabun111&amp;""</f>
        <v/>
      </c>
      <c r="L123" t="b">
        <f>shutoku111</f>
        <v>0</v>
      </c>
    </row>
    <row r="124" spans="1:12">
      <c r="A124">
        <v>112</v>
      </c>
      <c r="B124" t="str">
        <f>IF(moushikubun112="","追加",moushikubun112)</f>
        <v>追加</v>
      </c>
      <c r="C124" t="str">
        <f>shubetsu112&amp;""</f>
        <v/>
      </c>
      <c r="D124" t="str">
        <f>billid112&amp;""</f>
        <v/>
      </c>
      <c r="E124" t="str">
        <f>UPPER(SUBSTITUTE(番明[[#This Row],[ご請求番号]],"-",""))</f>
        <v/>
      </c>
      <c r="F124" t="str">
        <f>keiyakuid112&amp;""</f>
        <v/>
      </c>
      <c r="G124">
        <f>IF(companyyn112="既存コードに追加",1,0)</f>
        <v>0</v>
      </c>
      <c r="H124" t="str">
        <f>companycode112&amp;""</f>
        <v/>
      </c>
      <c r="I124" t="str">
        <f>IF(accelikkatsu112="","希望しない",accelikkatsu112)</f>
        <v>希望しない</v>
      </c>
      <c r="J124" t="str">
        <f>IF(belugabunyn112="","なし",belugabunyn112)</f>
        <v>なし</v>
      </c>
      <c r="K124" t="str">
        <f>belugabun112&amp;""</f>
        <v/>
      </c>
      <c r="L124" t="b">
        <f>shutoku112</f>
        <v>0</v>
      </c>
    </row>
    <row r="125" spans="1:12">
      <c r="A125">
        <v>113</v>
      </c>
      <c r="B125" t="str">
        <f>IF(moushikubun113="","追加",moushikubun113)</f>
        <v>追加</v>
      </c>
      <c r="C125" t="str">
        <f>shubetsu113&amp;""</f>
        <v/>
      </c>
      <c r="D125" t="str">
        <f>billid113&amp;""</f>
        <v/>
      </c>
      <c r="E125" t="str">
        <f>UPPER(SUBSTITUTE(番明[[#This Row],[ご請求番号]],"-",""))</f>
        <v/>
      </c>
      <c r="F125" t="str">
        <f>keiyakuid113&amp;""</f>
        <v/>
      </c>
      <c r="G125">
        <f>IF(companyyn113="既存コードに追加",1,0)</f>
        <v>0</v>
      </c>
      <c r="H125" t="str">
        <f>companycode113&amp;""</f>
        <v/>
      </c>
      <c r="I125" t="str">
        <f>IF(accelikkatsu113="","希望しない",accelikkatsu113)</f>
        <v>希望しない</v>
      </c>
      <c r="J125" t="str">
        <f>IF(belugabunyn113="","なし",belugabunyn113)</f>
        <v>なし</v>
      </c>
      <c r="K125" t="str">
        <f>belugabun113&amp;""</f>
        <v/>
      </c>
      <c r="L125" t="b">
        <f>shutoku113</f>
        <v>0</v>
      </c>
    </row>
    <row r="126" spans="1:12">
      <c r="A126">
        <v>114</v>
      </c>
      <c r="B126" t="str">
        <f>IF(moushikubun114="","追加",moushikubun114)</f>
        <v>追加</v>
      </c>
      <c r="C126" t="str">
        <f>shubetsu114&amp;""</f>
        <v/>
      </c>
      <c r="D126" t="str">
        <f>billid114&amp;""</f>
        <v/>
      </c>
      <c r="E126" t="str">
        <f>UPPER(SUBSTITUTE(番明[[#This Row],[ご請求番号]],"-",""))</f>
        <v/>
      </c>
      <c r="F126" t="str">
        <f>keiyakuid114&amp;""</f>
        <v/>
      </c>
      <c r="G126">
        <f>IF(companyyn114="既存コードに追加",1,0)</f>
        <v>0</v>
      </c>
      <c r="H126" t="str">
        <f>companycode114&amp;""</f>
        <v/>
      </c>
      <c r="I126" t="str">
        <f>IF(accelikkatsu114="","希望しない",accelikkatsu114)</f>
        <v>希望しない</v>
      </c>
      <c r="J126" t="str">
        <f>IF(belugabunyn114="","なし",belugabunyn114)</f>
        <v>なし</v>
      </c>
      <c r="K126" t="str">
        <f>belugabun114&amp;""</f>
        <v/>
      </c>
      <c r="L126" t="b">
        <f>shutoku114</f>
        <v>0</v>
      </c>
    </row>
    <row r="127" spans="1:12">
      <c r="A127">
        <v>115</v>
      </c>
      <c r="B127" t="str">
        <f>IF(moushikubun115="","追加",moushikubun115)</f>
        <v>追加</v>
      </c>
      <c r="C127" t="str">
        <f>shubetsu115&amp;""</f>
        <v/>
      </c>
      <c r="D127" t="str">
        <f>billid115&amp;""</f>
        <v/>
      </c>
      <c r="E127" t="str">
        <f>UPPER(SUBSTITUTE(番明[[#This Row],[ご請求番号]],"-",""))</f>
        <v/>
      </c>
      <c r="F127" t="str">
        <f>keiyakuid115&amp;""</f>
        <v/>
      </c>
      <c r="G127">
        <f>IF(companyyn115="既存コードに追加",1,0)</f>
        <v>0</v>
      </c>
      <c r="H127" t="str">
        <f>companycode115&amp;""</f>
        <v/>
      </c>
      <c r="I127" t="str">
        <f>IF(accelikkatsu115="","希望しない",accelikkatsu115)</f>
        <v>希望しない</v>
      </c>
      <c r="J127" t="str">
        <f>IF(belugabunyn115="","なし",belugabunyn115)</f>
        <v>なし</v>
      </c>
      <c r="K127" t="str">
        <f>belugabun115&amp;""</f>
        <v/>
      </c>
      <c r="L127" t="b">
        <f>shutoku115</f>
        <v>0</v>
      </c>
    </row>
    <row r="128" spans="1:12">
      <c r="A128">
        <v>116</v>
      </c>
      <c r="B128" t="str">
        <f>IF(moushikubun116="","追加",moushikubun116)</f>
        <v>追加</v>
      </c>
      <c r="C128" t="str">
        <f>shubetsu116&amp;""</f>
        <v/>
      </c>
      <c r="D128" t="str">
        <f>billid116&amp;""</f>
        <v/>
      </c>
      <c r="E128" t="str">
        <f>UPPER(SUBSTITUTE(番明[[#This Row],[ご請求番号]],"-",""))</f>
        <v/>
      </c>
      <c r="F128" t="str">
        <f>keiyakuid116&amp;""</f>
        <v/>
      </c>
      <c r="G128">
        <f>IF(companyyn116="既存コードに追加",1,0)</f>
        <v>0</v>
      </c>
      <c r="H128" t="str">
        <f>companycode116&amp;""</f>
        <v/>
      </c>
      <c r="I128" t="str">
        <f>IF(accelikkatsu116="","希望しない",accelikkatsu116)</f>
        <v>希望しない</v>
      </c>
      <c r="J128" t="str">
        <f>IF(belugabunyn116="","なし",belugabunyn116)</f>
        <v>なし</v>
      </c>
      <c r="K128" t="str">
        <f>belugabun116&amp;""</f>
        <v/>
      </c>
      <c r="L128" t="b">
        <f>shutoku116</f>
        <v>0</v>
      </c>
    </row>
    <row r="129" spans="1:12">
      <c r="A129">
        <v>117</v>
      </c>
      <c r="B129" t="str">
        <f>IF(moushikubun117="","追加",moushikubun117)</f>
        <v>追加</v>
      </c>
      <c r="C129" t="str">
        <f>shubetsu117&amp;""</f>
        <v/>
      </c>
      <c r="D129" t="str">
        <f>billid117&amp;""</f>
        <v/>
      </c>
      <c r="E129" t="str">
        <f>UPPER(SUBSTITUTE(番明[[#This Row],[ご請求番号]],"-",""))</f>
        <v/>
      </c>
      <c r="F129" t="str">
        <f>keiyakuid117&amp;""</f>
        <v/>
      </c>
      <c r="G129">
        <f>IF(companyyn117="既存コードに追加",1,0)</f>
        <v>0</v>
      </c>
      <c r="H129" t="str">
        <f>companycode117&amp;""</f>
        <v/>
      </c>
      <c r="I129" t="str">
        <f>IF(accelikkatsu117="","希望しない",accelikkatsu117)</f>
        <v>希望しない</v>
      </c>
      <c r="J129" t="str">
        <f>IF(belugabunyn117="","なし",belugabunyn117)</f>
        <v>なし</v>
      </c>
      <c r="K129" t="str">
        <f>belugabun117&amp;""</f>
        <v/>
      </c>
      <c r="L129" t="b">
        <f>shutoku117</f>
        <v>0</v>
      </c>
    </row>
    <row r="130" spans="1:12">
      <c r="A130">
        <v>118</v>
      </c>
      <c r="B130" t="str">
        <f>IF(moushikubun118="","追加",moushikubun118)</f>
        <v>追加</v>
      </c>
      <c r="C130" t="str">
        <f>shubetsu118&amp;""</f>
        <v/>
      </c>
      <c r="D130" t="str">
        <f>billid118&amp;""</f>
        <v/>
      </c>
      <c r="E130" t="str">
        <f>UPPER(SUBSTITUTE(番明[[#This Row],[ご請求番号]],"-",""))</f>
        <v/>
      </c>
      <c r="F130" t="str">
        <f>keiyakuid118&amp;""</f>
        <v/>
      </c>
      <c r="G130">
        <f>IF(companyyn118="既存コードに追加",1,0)</f>
        <v>0</v>
      </c>
      <c r="H130" t="str">
        <f>companycode118&amp;""</f>
        <v/>
      </c>
      <c r="I130" t="str">
        <f>IF(accelikkatsu118="","希望しない",accelikkatsu118)</f>
        <v>希望しない</v>
      </c>
      <c r="J130" t="str">
        <f>IF(belugabunyn118="","なし",belugabunyn118)</f>
        <v>なし</v>
      </c>
      <c r="K130" t="str">
        <f>belugabun118&amp;""</f>
        <v/>
      </c>
      <c r="L130" t="b">
        <f>shutoku118</f>
        <v>0</v>
      </c>
    </row>
    <row r="131" spans="1:12">
      <c r="A131">
        <v>119</v>
      </c>
      <c r="B131" t="str">
        <f>IF(moushikubun119="","追加",moushikubun119)</f>
        <v>追加</v>
      </c>
      <c r="C131" t="str">
        <f>shubetsu119&amp;""</f>
        <v/>
      </c>
      <c r="D131" t="str">
        <f>billid119&amp;""</f>
        <v/>
      </c>
      <c r="E131" t="str">
        <f>UPPER(SUBSTITUTE(番明[[#This Row],[ご請求番号]],"-",""))</f>
        <v/>
      </c>
      <c r="F131" t="str">
        <f>keiyakuid119&amp;""</f>
        <v/>
      </c>
      <c r="G131">
        <f>IF(companyyn119="既存コードに追加",1,0)</f>
        <v>0</v>
      </c>
      <c r="H131" t="str">
        <f>companycode119&amp;""</f>
        <v/>
      </c>
      <c r="I131" t="str">
        <f>IF(accelikkatsu119="","希望しない",accelikkatsu119)</f>
        <v>希望しない</v>
      </c>
      <c r="J131" t="str">
        <f>IF(belugabunyn119="","なし",belugabunyn119)</f>
        <v>なし</v>
      </c>
      <c r="K131" t="str">
        <f>belugabun119&amp;""</f>
        <v/>
      </c>
      <c r="L131" t="b">
        <f>shutoku119</f>
        <v>0</v>
      </c>
    </row>
    <row r="132" spans="1:12">
      <c r="A132">
        <v>120</v>
      </c>
      <c r="B132" t="str">
        <f>IF(moushikubun120="","追加",moushikubun120)</f>
        <v>追加</v>
      </c>
      <c r="C132" t="str">
        <f>shubetsu120&amp;""</f>
        <v/>
      </c>
      <c r="D132" t="str">
        <f>billid120&amp;""</f>
        <v/>
      </c>
      <c r="E132" t="str">
        <f>UPPER(SUBSTITUTE(番明[[#This Row],[ご請求番号]],"-",""))</f>
        <v/>
      </c>
      <c r="F132" t="str">
        <f>keiyakuid120&amp;""</f>
        <v/>
      </c>
      <c r="G132">
        <f>IF(companyyn120="既存コードに追加",1,0)</f>
        <v>0</v>
      </c>
      <c r="H132" t="str">
        <f>companycode120&amp;""</f>
        <v/>
      </c>
      <c r="I132" t="str">
        <f>IF(accelikkatsu120="","希望しない",accelikkatsu120)</f>
        <v>希望しない</v>
      </c>
      <c r="J132" t="str">
        <f>IF(belugabunyn120="","なし",belugabunyn120)</f>
        <v>なし</v>
      </c>
      <c r="K132" t="str">
        <f>belugabun120&amp;""</f>
        <v/>
      </c>
      <c r="L132" t="b">
        <f>shutoku120</f>
        <v>0</v>
      </c>
    </row>
    <row r="133" spans="1:12">
      <c r="A133">
        <v>121</v>
      </c>
      <c r="B133" t="str">
        <f>IF(moushikubun121="","追加",moushikubun121)</f>
        <v>追加</v>
      </c>
      <c r="C133" t="str">
        <f>shubetsu121&amp;""</f>
        <v/>
      </c>
      <c r="D133" t="str">
        <f>billid121&amp;""</f>
        <v/>
      </c>
      <c r="E133" t="str">
        <f>UPPER(SUBSTITUTE(番明[[#This Row],[ご請求番号]],"-",""))</f>
        <v/>
      </c>
      <c r="F133" t="str">
        <f>keiyakuid121&amp;""</f>
        <v/>
      </c>
      <c r="G133">
        <f>IF(companyyn121="既存コードに追加",1,0)</f>
        <v>0</v>
      </c>
      <c r="H133" t="str">
        <f>companycode121&amp;""</f>
        <v/>
      </c>
      <c r="I133" t="str">
        <f>IF(accelikkatsu121="","希望しない",accelikkatsu121)</f>
        <v>希望しない</v>
      </c>
      <c r="J133" t="str">
        <f>IF(belugabunyn121="","なし",belugabunyn121)</f>
        <v>なし</v>
      </c>
      <c r="K133" t="str">
        <f>belugabun121&amp;""</f>
        <v/>
      </c>
      <c r="L133" t="b">
        <f>shutoku121</f>
        <v>0</v>
      </c>
    </row>
    <row r="134" spans="1:12">
      <c r="A134">
        <v>122</v>
      </c>
      <c r="B134" t="str">
        <f>IF(moushikubun122="","追加",moushikubun122)</f>
        <v>追加</v>
      </c>
      <c r="C134" t="str">
        <f>shubetsu122&amp;""</f>
        <v/>
      </c>
      <c r="D134" t="str">
        <f>billid122&amp;""</f>
        <v/>
      </c>
      <c r="E134" t="str">
        <f>UPPER(SUBSTITUTE(番明[[#This Row],[ご請求番号]],"-",""))</f>
        <v/>
      </c>
      <c r="F134" t="str">
        <f>keiyakuid122&amp;""</f>
        <v/>
      </c>
      <c r="G134">
        <f>IF(companyyn122="既存コードに追加",1,0)</f>
        <v>0</v>
      </c>
      <c r="H134" t="str">
        <f>companycode122&amp;""</f>
        <v/>
      </c>
      <c r="I134" t="str">
        <f>IF(accelikkatsu122="","希望しない",accelikkatsu122)</f>
        <v>希望しない</v>
      </c>
      <c r="J134" t="str">
        <f>IF(belugabunyn122="","なし",belugabunyn122)</f>
        <v>なし</v>
      </c>
      <c r="K134" t="str">
        <f>belugabun122&amp;""</f>
        <v/>
      </c>
      <c r="L134" t="b">
        <f>shutoku122</f>
        <v>0</v>
      </c>
    </row>
    <row r="135" spans="1:12">
      <c r="A135">
        <v>123</v>
      </c>
      <c r="B135" t="str">
        <f>IF(moushikubun123="","追加",moushikubun123)</f>
        <v>追加</v>
      </c>
      <c r="C135" t="str">
        <f>shubetsu123&amp;""</f>
        <v/>
      </c>
      <c r="D135" t="str">
        <f>billid123&amp;""</f>
        <v/>
      </c>
      <c r="E135" t="str">
        <f>UPPER(SUBSTITUTE(番明[[#This Row],[ご請求番号]],"-",""))</f>
        <v/>
      </c>
      <c r="F135" t="str">
        <f>keiyakuid123&amp;""</f>
        <v/>
      </c>
      <c r="G135">
        <f>IF(companyyn123="既存コードに追加",1,0)</f>
        <v>0</v>
      </c>
      <c r="H135" t="str">
        <f>companycode123&amp;""</f>
        <v/>
      </c>
      <c r="I135" t="str">
        <f>IF(accelikkatsu123="","希望しない",accelikkatsu123)</f>
        <v>希望しない</v>
      </c>
      <c r="J135" t="str">
        <f>IF(belugabunyn123="","なし",belugabunyn123)</f>
        <v>なし</v>
      </c>
      <c r="K135" t="str">
        <f>belugabun123&amp;""</f>
        <v/>
      </c>
      <c r="L135" t="b">
        <f>shutoku123</f>
        <v>0</v>
      </c>
    </row>
    <row r="136" spans="1:12">
      <c r="A136">
        <v>124</v>
      </c>
      <c r="B136" t="str">
        <f>IF(moushikubun124="","追加",moushikubun124)</f>
        <v>追加</v>
      </c>
      <c r="C136" t="str">
        <f>shubetsu124&amp;""</f>
        <v/>
      </c>
      <c r="D136" t="str">
        <f>billid124&amp;""</f>
        <v/>
      </c>
      <c r="E136" t="str">
        <f>UPPER(SUBSTITUTE(番明[[#This Row],[ご請求番号]],"-",""))</f>
        <v/>
      </c>
      <c r="F136" t="str">
        <f>keiyakuid124&amp;""</f>
        <v/>
      </c>
      <c r="G136">
        <f>IF(companyyn124="既存コードに追加",1,0)</f>
        <v>0</v>
      </c>
      <c r="H136" t="str">
        <f>companycode124&amp;""</f>
        <v/>
      </c>
      <c r="I136" t="str">
        <f>IF(accelikkatsu124="","希望しない",accelikkatsu124)</f>
        <v>希望しない</v>
      </c>
      <c r="J136" t="str">
        <f>IF(belugabunyn124="","なし",belugabunyn124)</f>
        <v>なし</v>
      </c>
      <c r="K136" t="str">
        <f>belugabun124&amp;""</f>
        <v/>
      </c>
      <c r="L136" t="b">
        <f>shutoku124</f>
        <v>0</v>
      </c>
    </row>
    <row r="137" spans="1:12">
      <c r="A137">
        <v>125</v>
      </c>
      <c r="B137" t="str">
        <f>IF(moushikubun125="","追加",moushikubun125)</f>
        <v>追加</v>
      </c>
      <c r="C137" t="str">
        <f>shubetsu125&amp;""</f>
        <v/>
      </c>
      <c r="D137" t="str">
        <f>billid125&amp;""</f>
        <v/>
      </c>
      <c r="E137" t="str">
        <f>UPPER(SUBSTITUTE(番明[[#This Row],[ご請求番号]],"-",""))</f>
        <v/>
      </c>
      <c r="F137" t="str">
        <f>keiyakuid125&amp;""</f>
        <v/>
      </c>
      <c r="G137">
        <f>IF(companyyn125="既存コードに追加",1,0)</f>
        <v>0</v>
      </c>
      <c r="H137" t="str">
        <f>companycode125&amp;""</f>
        <v/>
      </c>
      <c r="I137" t="str">
        <f>IF(accelikkatsu125="","希望しない",accelikkatsu125)</f>
        <v>希望しない</v>
      </c>
      <c r="J137" t="str">
        <f>IF(belugabunyn125="","なし",belugabunyn125)</f>
        <v>なし</v>
      </c>
      <c r="K137" t="str">
        <f>belugabun125&amp;""</f>
        <v/>
      </c>
      <c r="L137" t="b">
        <f>shutoku125</f>
        <v>0</v>
      </c>
    </row>
    <row r="138" spans="1:12">
      <c r="A138">
        <v>126</v>
      </c>
      <c r="B138" t="str">
        <f>IF(moushikubun126="","追加",moushikubun126)</f>
        <v>追加</v>
      </c>
      <c r="C138" t="str">
        <f>shubetsu126&amp;""</f>
        <v/>
      </c>
      <c r="D138" t="str">
        <f>billid126&amp;""</f>
        <v/>
      </c>
      <c r="E138" t="str">
        <f>UPPER(SUBSTITUTE(番明[[#This Row],[ご請求番号]],"-",""))</f>
        <v/>
      </c>
      <c r="F138" t="str">
        <f>keiyakuid126&amp;""</f>
        <v/>
      </c>
      <c r="G138">
        <f>IF(companyyn126="既存コードに追加",1,0)</f>
        <v>0</v>
      </c>
      <c r="H138" t="str">
        <f>companycode126&amp;""</f>
        <v/>
      </c>
      <c r="I138" t="str">
        <f>IF(accelikkatsu126="","希望しない",accelikkatsu126)</f>
        <v>希望しない</v>
      </c>
      <c r="J138" t="str">
        <f>IF(belugabunyn126="","なし",belugabunyn126)</f>
        <v>なし</v>
      </c>
      <c r="K138" t="str">
        <f>belugabun126&amp;""</f>
        <v/>
      </c>
      <c r="L138" t="b">
        <f>shutoku126</f>
        <v>0</v>
      </c>
    </row>
    <row r="139" spans="1:12">
      <c r="A139">
        <v>127</v>
      </c>
      <c r="B139" t="str">
        <f>IF(moushikubun127="","追加",moushikubun127)</f>
        <v>追加</v>
      </c>
      <c r="C139" t="str">
        <f>shubetsu127&amp;""</f>
        <v/>
      </c>
      <c r="D139" t="str">
        <f>billid127&amp;""</f>
        <v/>
      </c>
      <c r="E139" t="str">
        <f>UPPER(SUBSTITUTE(番明[[#This Row],[ご請求番号]],"-",""))</f>
        <v/>
      </c>
      <c r="F139" t="str">
        <f>keiyakuid127&amp;""</f>
        <v/>
      </c>
      <c r="G139">
        <f>IF(companyyn127="既存コードに追加",1,0)</f>
        <v>0</v>
      </c>
      <c r="H139" t="str">
        <f>companycode127&amp;""</f>
        <v/>
      </c>
      <c r="I139" t="str">
        <f>IF(accelikkatsu127="","希望しない",accelikkatsu127)</f>
        <v>希望しない</v>
      </c>
      <c r="J139" t="str">
        <f>IF(belugabunyn127="","なし",belugabunyn127)</f>
        <v>なし</v>
      </c>
      <c r="K139" t="str">
        <f>belugabun127&amp;""</f>
        <v/>
      </c>
      <c r="L139" t="b">
        <f>shutoku127</f>
        <v>0</v>
      </c>
    </row>
    <row r="140" spans="1:12">
      <c r="A140">
        <v>128</v>
      </c>
      <c r="B140" t="str">
        <f>IF(moushikubun128="","追加",moushikubun128)</f>
        <v>追加</v>
      </c>
      <c r="C140" t="str">
        <f>shubetsu128&amp;""</f>
        <v/>
      </c>
      <c r="D140" t="str">
        <f>billid128&amp;""</f>
        <v/>
      </c>
      <c r="E140" t="str">
        <f>UPPER(SUBSTITUTE(番明[[#This Row],[ご請求番号]],"-",""))</f>
        <v/>
      </c>
      <c r="F140" t="str">
        <f>keiyakuid128&amp;""</f>
        <v/>
      </c>
      <c r="G140">
        <f>IF(companyyn128="既存コードに追加",1,0)</f>
        <v>0</v>
      </c>
      <c r="H140" t="str">
        <f>companycode128&amp;""</f>
        <v/>
      </c>
      <c r="I140" t="str">
        <f>IF(accelikkatsu128="","希望しない",accelikkatsu128)</f>
        <v>希望しない</v>
      </c>
      <c r="J140" t="str">
        <f>IF(belugabunyn128="","なし",belugabunyn128)</f>
        <v>なし</v>
      </c>
      <c r="K140" t="str">
        <f>belugabun128&amp;""</f>
        <v/>
      </c>
      <c r="L140" t="b">
        <f>shutoku128</f>
        <v>0</v>
      </c>
    </row>
    <row r="141" spans="1:12">
      <c r="A141">
        <v>129</v>
      </c>
      <c r="B141" t="str">
        <f>IF(moushikubun129="","追加",moushikubun129)</f>
        <v>追加</v>
      </c>
      <c r="C141" t="str">
        <f>shubetsu129&amp;""</f>
        <v/>
      </c>
      <c r="D141" t="str">
        <f>billid129&amp;""</f>
        <v/>
      </c>
      <c r="E141" t="str">
        <f>UPPER(SUBSTITUTE(番明[[#This Row],[ご請求番号]],"-",""))</f>
        <v/>
      </c>
      <c r="F141" t="str">
        <f>keiyakuid129&amp;""</f>
        <v/>
      </c>
      <c r="G141">
        <f>IF(companyyn129="既存コードに追加",1,0)</f>
        <v>0</v>
      </c>
      <c r="H141" t="str">
        <f>companycode129&amp;""</f>
        <v/>
      </c>
      <c r="I141" t="str">
        <f>IF(accelikkatsu129="","希望しない",accelikkatsu129)</f>
        <v>希望しない</v>
      </c>
      <c r="J141" t="str">
        <f>IF(belugabunyn129="","なし",belugabunyn129)</f>
        <v>なし</v>
      </c>
      <c r="K141" t="str">
        <f>belugabun129&amp;""</f>
        <v/>
      </c>
      <c r="L141" t="b">
        <f>shutoku129</f>
        <v>0</v>
      </c>
    </row>
    <row r="142" spans="1:12">
      <c r="A142">
        <v>130</v>
      </c>
      <c r="B142" t="str">
        <f>IF(moushikubun130="","追加",moushikubun130)</f>
        <v>追加</v>
      </c>
      <c r="C142" t="str">
        <f>shubetsu130&amp;""</f>
        <v/>
      </c>
      <c r="D142" t="str">
        <f>billid130&amp;""</f>
        <v/>
      </c>
      <c r="E142" t="str">
        <f>UPPER(SUBSTITUTE(番明[[#This Row],[ご請求番号]],"-",""))</f>
        <v/>
      </c>
      <c r="F142" t="str">
        <f>keiyakuid130&amp;""</f>
        <v/>
      </c>
      <c r="G142">
        <f>IF(companyyn130="既存コードに追加",1,0)</f>
        <v>0</v>
      </c>
      <c r="H142" t="str">
        <f>companycode130&amp;""</f>
        <v/>
      </c>
      <c r="I142" t="str">
        <f>IF(accelikkatsu130="","希望しない",accelikkatsu130)</f>
        <v>希望しない</v>
      </c>
      <c r="J142" t="str">
        <f>IF(belugabunyn130="","なし",belugabunyn130)</f>
        <v>なし</v>
      </c>
      <c r="K142" t="str">
        <f>belugabun130&amp;""</f>
        <v/>
      </c>
      <c r="L142" t="b">
        <f>shutoku130</f>
        <v>0</v>
      </c>
    </row>
    <row r="143" spans="1:12">
      <c r="A143">
        <v>131</v>
      </c>
      <c r="B143" t="str">
        <f>IF(moushikubun131="","追加",moushikubun131)</f>
        <v>追加</v>
      </c>
      <c r="C143" t="str">
        <f>shubetsu131&amp;""</f>
        <v/>
      </c>
      <c r="D143" t="str">
        <f>billid131&amp;""</f>
        <v/>
      </c>
      <c r="E143" t="str">
        <f>UPPER(SUBSTITUTE(番明[[#This Row],[ご請求番号]],"-",""))</f>
        <v/>
      </c>
      <c r="F143" t="str">
        <f>keiyakuid131&amp;""</f>
        <v/>
      </c>
      <c r="G143">
        <f>IF(companyyn131="既存コードに追加",1,0)</f>
        <v>0</v>
      </c>
      <c r="H143" t="str">
        <f>companycode131&amp;""</f>
        <v/>
      </c>
      <c r="I143" t="str">
        <f>IF(accelikkatsu131="","希望しない",accelikkatsu131)</f>
        <v>希望しない</v>
      </c>
      <c r="J143" t="str">
        <f>IF(belugabunyn131="","なし",belugabunyn131)</f>
        <v>なし</v>
      </c>
      <c r="K143" t="str">
        <f>belugabun131&amp;""</f>
        <v/>
      </c>
      <c r="L143" t="b">
        <f>shutoku131</f>
        <v>0</v>
      </c>
    </row>
    <row r="144" spans="1:12">
      <c r="A144">
        <v>132</v>
      </c>
      <c r="B144" t="str">
        <f>IF(moushikubun132="","追加",moushikubun132)</f>
        <v>追加</v>
      </c>
      <c r="C144" t="str">
        <f>shubetsu132&amp;""</f>
        <v/>
      </c>
      <c r="D144" t="str">
        <f>billid132&amp;""</f>
        <v/>
      </c>
      <c r="E144" t="str">
        <f>UPPER(SUBSTITUTE(番明[[#This Row],[ご請求番号]],"-",""))</f>
        <v/>
      </c>
      <c r="F144" t="str">
        <f>keiyakuid132&amp;""</f>
        <v/>
      </c>
      <c r="G144">
        <f>IF(companyyn132="既存コードに追加",1,0)</f>
        <v>0</v>
      </c>
      <c r="H144" t="str">
        <f>companycode132&amp;""</f>
        <v/>
      </c>
      <c r="I144" t="str">
        <f>IF(accelikkatsu132="","希望しない",accelikkatsu132)</f>
        <v>希望しない</v>
      </c>
      <c r="J144" t="str">
        <f>IF(belugabunyn132="","なし",belugabunyn132)</f>
        <v>なし</v>
      </c>
      <c r="K144" t="str">
        <f>belugabun132&amp;""</f>
        <v/>
      </c>
      <c r="L144" t="b">
        <f>shutoku132</f>
        <v>0</v>
      </c>
    </row>
    <row r="145" spans="1:12">
      <c r="A145">
        <v>133</v>
      </c>
      <c r="B145" t="str">
        <f>IF(moushikubun133="","追加",moushikubun133)</f>
        <v>追加</v>
      </c>
      <c r="C145" t="str">
        <f>shubetsu133&amp;""</f>
        <v/>
      </c>
      <c r="D145" t="str">
        <f>billid133&amp;""</f>
        <v/>
      </c>
      <c r="E145" t="str">
        <f>UPPER(SUBSTITUTE(番明[[#This Row],[ご請求番号]],"-",""))</f>
        <v/>
      </c>
      <c r="F145" t="str">
        <f>keiyakuid133&amp;""</f>
        <v/>
      </c>
      <c r="G145">
        <f>IF(companyyn133="既存コードに追加",1,0)</f>
        <v>0</v>
      </c>
      <c r="H145" t="str">
        <f>companycode133&amp;""</f>
        <v/>
      </c>
      <c r="I145" t="str">
        <f>IF(accelikkatsu133="","希望しない",accelikkatsu133)</f>
        <v>希望しない</v>
      </c>
      <c r="J145" t="str">
        <f>IF(belugabunyn133="","なし",belugabunyn133)</f>
        <v>なし</v>
      </c>
      <c r="K145" t="str">
        <f>belugabun133&amp;""</f>
        <v/>
      </c>
      <c r="L145" t="b">
        <f>shutoku133</f>
        <v>0</v>
      </c>
    </row>
    <row r="146" spans="1:12">
      <c r="A146">
        <v>134</v>
      </c>
      <c r="B146" t="str">
        <f>IF(moushikubun134="","追加",moushikubun134)</f>
        <v>追加</v>
      </c>
      <c r="C146" t="str">
        <f>shubetsu134&amp;""</f>
        <v/>
      </c>
      <c r="D146" t="str">
        <f>billid134&amp;""</f>
        <v/>
      </c>
      <c r="E146" t="str">
        <f>UPPER(SUBSTITUTE(番明[[#This Row],[ご請求番号]],"-",""))</f>
        <v/>
      </c>
      <c r="F146" t="str">
        <f>keiyakuid134&amp;""</f>
        <v/>
      </c>
      <c r="G146">
        <f>IF(companyyn134="既存コードに追加",1,0)</f>
        <v>0</v>
      </c>
      <c r="H146" t="str">
        <f>companycode134&amp;""</f>
        <v/>
      </c>
      <c r="I146" t="str">
        <f>IF(accelikkatsu134="","希望しない",accelikkatsu134)</f>
        <v>希望しない</v>
      </c>
      <c r="J146" t="str">
        <f>IF(belugabunyn134="","なし",belugabunyn134)</f>
        <v>なし</v>
      </c>
      <c r="K146" t="str">
        <f>belugabun134&amp;""</f>
        <v/>
      </c>
      <c r="L146" t="b">
        <f>shutoku134</f>
        <v>0</v>
      </c>
    </row>
    <row r="147" spans="1:12">
      <c r="A147">
        <v>135</v>
      </c>
      <c r="B147" t="str">
        <f>IF(moushikubun135="","追加",moushikubun135)</f>
        <v>追加</v>
      </c>
      <c r="C147" t="str">
        <f>shubetsu135&amp;""</f>
        <v/>
      </c>
      <c r="D147" t="str">
        <f>billid135&amp;""</f>
        <v/>
      </c>
      <c r="E147" t="str">
        <f>UPPER(SUBSTITUTE(番明[[#This Row],[ご請求番号]],"-",""))</f>
        <v/>
      </c>
      <c r="F147" t="str">
        <f>keiyakuid135&amp;""</f>
        <v/>
      </c>
      <c r="G147">
        <f>IF(companyyn135="既存コードに追加",1,0)</f>
        <v>0</v>
      </c>
      <c r="H147" t="str">
        <f>companycode135&amp;""</f>
        <v/>
      </c>
      <c r="I147" t="str">
        <f>IF(accelikkatsu135="","希望しない",accelikkatsu135)</f>
        <v>希望しない</v>
      </c>
      <c r="J147" t="str">
        <f>IF(belugabunyn135="","なし",belugabunyn135)</f>
        <v>なし</v>
      </c>
      <c r="K147" t="str">
        <f>belugabun135&amp;""</f>
        <v/>
      </c>
      <c r="L147" t="b">
        <f>shutoku135</f>
        <v>0</v>
      </c>
    </row>
    <row r="148" spans="1:12">
      <c r="A148">
        <v>136</v>
      </c>
      <c r="B148" t="str">
        <f>IF(moushikubun136="","追加",moushikubun136)</f>
        <v>追加</v>
      </c>
      <c r="C148" t="str">
        <f>shubetsu136&amp;""</f>
        <v/>
      </c>
      <c r="D148" t="str">
        <f>billid136&amp;""</f>
        <v/>
      </c>
      <c r="E148" t="str">
        <f>UPPER(SUBSTITUTE(番明[[#This Row],[ご請求番号]],"-",""))</f>
        <v/>
      </c>
      <c r="F148" t="str">
        <f>keiyakuid136&amp;""</f>
        <v/>
      </c>
      <c r="G148">
        <f>IF(companyyn136="既存コードに追加",1,0)</f>
        <v>0</v>
      </c>
      <c r="H148" t="str">
        <f>companycode136&amp;""</f>
        <v/>
      </c>
      <c r="I148" t="str">
        <f>IF(accelikkatsu136="","希望しない",accelikkatsu136)</f>
        <v>希望しない</v>
      </c>
      <c r="J148" t="str">
        <f>IF(belugabunyn136="","なし",belugabunyn136)</f>
        <v>なし</v>
      </c>
      <c r="K148" t="str">
        <f>belugabun136&amp;""</f>
        <v/>
      </c>
      <c r="L148" t="b">
        <f>shutoku136</f>
        <v>0</v>
      </c>
    </row>
    <row r="149" spans="1:12">
      <c r="A149">
        <v>137</v>
      </c>
      <c r="B149" t="str">
        <f>IF(moushikubun137="","追加",moushikubun137)</f>
        <v>追加</v>
      </c>
      <c r="C149" t="str">
        <f>shubetsu137&amp;""</f>
        <v/>
      </c>
      <c r="D149" t="str">
        <f>billid137&amp;""</f>
        <v/>
      </c>
      <c r="E149" t="str">
        <f>UPPER(SUBSTITUTE(番明[[#This Row],[ご請求番号]],"-",""))</f>
        <v/>
      </c>
      <c r="F149" t="str">
        <f>keiyakuid137&amp;""</f>
        <v/>
      </c>
      <c r="G149">
        <f>IF(companyyn137="既存コードに追加",1,0)</f>
        <v>0</v>
      </c>
      <c r="H149" t="str">
        <f>companycode137&amp;""</f>
        <v/>
      </c>
      <c r="I149" t="str">
        <f>IF(accelikkatsu137="","希望しない",accelikkatsu137)</f>
        <v>希望しない</v>
      </c>
      <c r="J149" t="str">
        <f>IF(belugabunyn137="","なし",belugabunyn137)</f>
        <v>なし</v>
      </c>
      <c r="K149" t="str">
        <f>belugabun137&amp;""</f>
        <v/>
      </c>
      <c r="L149" t="b">
        <f>shutoku137</f>
        <v>0</v>
      </c>
    </row>
    <row r="150" spans="1:12">
      <c r="A150">
        <v>138</v>
      </c>
      <c r="B150" t="str">
        <f>IF(moushikubun138="","追加",moushikubun138)</f>
        <v>追加</v>
      </c>
      <c r="C150" t="str">
        <f>shubetsu138&amp;""</f>
        <v/>
      </c>
      <c r="D150" t="str">
        <f>billid138&amp;""</f>
        <v/>
      </c>
      <c r="E150" t="str">
        <f>UPPER(SUBSTITUTE(番明[[#This Row],[ご請求番号]],"-",""))</f>
        <v/>
      </c>
      <c r="F150" t="str">
        <f>keiyakuid138&amp;""</f>
        <v/>
      </c>
      <c r="G150">
        <f>IF(companyyn138="既存コードに追加",1,0)</f>
        <v>0</v>
      </c>
      <c r="H150" t="str">
        <f>companycode138&amp;""</f>
        <v/>
      </c>
      <c r="I150" t="str">
        <f>IF(accelikkatsu138="","希望しない",accelikkatsu138)</f>
        <v>希望しない</v>
      </c>
      <c r="J150" t="str">
        <f>IF(belugabunyn138="","なし",belugabunyn138)</f>
        <v>なし</v>
      </c>
      <c r="K150" t="str">
        <f>belugabun138&amp;""</f>
        <v/>
      </c>
      <c r="L150" t="b">
        <f>shutoku138</f>
        <v>0</v>
      </c>
    </row>
    <row r="151" spans="1:12">
      <c r="A151">
        <v>139</v>
      </c>
      <c r="B151" t="str">
        <f>IF(moushikubun139="","追加",moushikubun139)</f>
        <v>追加</v>
      </c>
      <c r="C151" t="str">
        <f>shubetsu139&amp;""</f>
        <v/>
      </c>
      <c r="D151" t="str">
        <f>billid139&amp;""</f>
        <v/>
      </c>
      <c r="E151" t="str">
        <f>UPPER(SUBSTITUTE(番明[[#This Row],[ご請求番号]],"-",""))</f>
        <v/>
      </c>
      <c r="F151" t="str">
        <f>keiyakuid139&amp;""</f>
        <v/>
      </c>
      <c r="G151">
        <f>IF(companyyn139="既存コードに追加",1,0)</f>
        <v>0</v>
      </c>
      <c r="H151" t="str">
        <f>companycode139&amp;""</f>
        <v/>
      </c>
      <c r="I151" t="str">
        <f>IF(accelikkatsu139="","希望しない",accelikkatsu139)</f>
        <v>希望しない</v>
      </c>
      <c r="J151" t="str">
        <f>IF(belugabunyn139="","なし",belugabunyn139)</f>
        <v>なし</v>
      </c>
      <c r="K151" t="str">
        <f>belugabun139&amp;""</f>
        <v/>
      </c>
      <c r="L151" t="b">
        <f>shutoku139</f>
        <v>0</v>
      </c>
    </row>
    <row r="152" spans="1:12">
      <c r="A152">
        <v>140</v>
      </c>
      <c r="B152" t="str">
        <f>IF(moushikubun140="","追加",moushikubun140)</f>
        <v>追加</v>
      </c>
      <c r="C152" t="str">
        <f>shubetsu140&amp;""</f>
        <v/>
      </c>
      <c r="D152" t="str">
        <f>billid140&amp;""</f>
        <v/>
      </c>
      <c r="E152" t="str">
        <f>UPPER(SUBSTITUTE(番明[[#This Row],[ご請求番号]],"-",""))</f>
        <v/>
      </c>
      <c r="F152" t="str">
        <f>keiyakuid140&amp;""</f>
        <v/>
      </c>
      <c r="G152">
        <f>IF(companyyn140="既存コードに追加",1,0)</f>
        <v>0</v>
      </c>
      <c r="H152" t="str">
        <f>companycode140&amp;""</f>
        <v/>
      </c>
      <c r="I152" t="str">
        <f>IF(accelikkatsu140="","希望しない",accelikkatsu140)</f>
        <v>希望しない</v>
      </c>
      <c r="J152" t="str">
        <f>IF(belugabunyn140="","なし",belugabunyn140)</f>
        <v>なし</v>
      </c>
      <c r="K152" t="str">
        <f>belugabun140&amp;""</f>
        <v/>
      </c>
      <c r="L152" t="b">
        <f>shutoku140</f>
        <v>0</v>
      </c>
    </row>
    <row r="153" spans="1:12">
      <c r="A153">
        <v>141</v>
      </c>
      <c r="B153" t="str">
        <f>IF(moushikubun141="","追加",moushikubun141)</f>
        <v>追加</v>
      </c>
      <c r="C153" t="str">
        <f>shubetsu141&amp;""</f>
        <v/>
      </c>
      <c r="D153" t="str">
        <f>billid141&amp;""</f>
        <v/>
      </c>
      <c r="E153" t="str">
        <f>UPPER(SUBSTITUTE(番明[[#This Row],[ご請求番号]],"-",""))</f>
        <v/>
      </c>
      <c r="F153" t="str">
        <f>keiyakuid141&amp;""</f>
        <v/>
      </c>
      <c r="G153">
        <f>IF(companyyn141="既存コードに追加",1,0)</f>
        <v>0</v>
      </c>
      <c r="H153" t="str">
        <f>companycode141&amp;""</f>
        <v/>
      </c>
      <c r="I153" t="str">
        <f>IF(accelikkatsu141="","希望しない",accelikkatsu141)</f>
        <v>希望しない</v>
      </c>
      <c r="J153" t="str">
        <f>IF(belugabunyn141="","なし",belugabunyn141)</f>
        <v>なし</v>
      </c>
      <c r="K153" t="str">
        <f>belugabun141&amp;""</f>
        <v/>
      </c>
      <c r="L153" t="b">
        <f>shutoku141</f>
        <v>0</v>
      </c>
    </row>
    <row r="154" spans="1:12">
      <c r="A154">
        <v>142</v>
      </c>
      <c r="B154" t="str">
        <f>IF(moushikubun142="","追加",moushikubun142)</f>
        <v>追加</v>
      </c>
      <c r="C154" t="str">
        <f>shubetsu142&amp;""</f>
        <v/>
      </c>
      <c r="D154" t="str">
        <f>billid142&amp;""</f>
        <v/>
      </c>
      <c r="E154" t="str">
        <f>UPPER(SUBSTITUTE(番明[[#This Row],[ご請求番号]],"-",""))</f>
        <v/>
      </c>
      <c r="F154" t="str">
        <f>keiyakuid142&amp;""</f>
        <v/>
      </c>
      <c r="G154">
        <f>IF(companyyn142="既存コードに追加",1,0)</f>
        <v>0</v>
      </c>
      <c r="H154" t="str">
        <f>companycode142&amp;""</f>
        <v/>
      </c>
      <c r="I154" t="str">
        <f>IF(accelikkatsu142="","希望しない",accelikkatsu142)</f>
        <v>希望しない</v>
      </c>
      <c r="J154" t="str">
        <f>IF(belugabunyn142="","なし",belugabunyn142)</f>
        <v>なし</v>
      </c>
      <c r="K154" t="str">
        <f>belugabun142&amp;""</f>
        <v/>
      </c>
      <c r="L154" t="b">
        <f>shutoku142</f>
        <v>0</v>
      </c>
    </row>
    <row r="155" spans="1:12">
      <c r="A155">
        <v>143</v>
      </c>
      <c r="B155" t="str">
        <f>IF(moushikubun143="","追加",moushikubun143)</f>
        <v>追加</v>
      </c>
      <c r="C155" t="str">
        <f>shubetsu143&amp;""</f>
        <v/>
      </c>
      <c r="D155" t="str">
        <f>billid143&amp;""</f>
        <v/>
      </c>
      <c r="E155" t="str">
        <f>UPPER(SUBSTITUTE(番明[[#This Row],[ご請求番号]],"-",""))</f>
        <v/>
      </c>
      <c r="F155" t="str">
        <f>keiyakuid143&amp;""</f>
        <v/>
      </c>
      <c r="G155">
        <f>IF(companyyn143="既存コードに追加",1,0)</f>
        <v>0</v>
      </c>
      <c r="H155" t="str">
        <f>companycode143&amp;""</f>
        <v/>
      </c>
      <c r="I155" t="str">
        <f>IF(accelikkatsu143="","希望しない",accelikkatsu143)</f>
        <v>希望しない</v>
      </c>
      <c r="J155" t="str">
        <f>IF(belugabunyn143="","なし",belugabunyn143)</f>
        <v>なし</v>
      </c>
      <c r="K155" t="str">
        <f>belugabun143&amp;""</f>
        <v/>
      </c>
      <c r="L155" t="b">
        <f>shutoku143</f>
        <v>0</v>
      </c>
    </row>
    <row r="156" spans="1:12">
      <c r="A156">
        <v>144</v>
      </c>
      <c r="B156" t="str">
        <f>IF(moushikubun144="","追加",moushikubun144)</f>
        <v>追加</v>
      </c>
      <c r="C156" t="str">
        <f>shubetsu144&amp;""</f>
        <v/>
      </c>
      <c r="D156" t="str">
        <f>billid144&amp;""</f>
        <v/>
      </c>
      <c r="E156" t="str">
        <f>UPPER(SUBSTITUTE(番明[[#This Row],[ご請求番号]],"-",""))</f>
        <v/>
      </c>
      <c r="F156" t="str">
        <f>keiyakuid144&amp;""</f>
        <v/>
      </c>
      <c r="G156">
        <f>IF(companyyn144="既存コードに追加",1,0)</f>
        <v>0</v>
      </c>
      <c r="H156" t="str">
        <f>companycode144&amp;""</f>
        <v/>
      </c>
      <c r="I156" t="str">
        <f>IF(accelikkatsu144="","希望しない",accelikkatsu144)</f>
        <v>希望しない</v>
      </c>
      <c r="J156" t="str">
        <f>IF(belugabunyn144="","なし",belugabunyn144)</f>
        <v>なし</v>
      </c>
      <c r="K156" t="str">
        <f>belugabun144&amp;""</f>
        <v/>
      </c>
      <c r="L156" t="b">
        <f>shutoku144</f>
        <v>0</v>
      </c>
    </row>
    <row r="157" spans="1:12">
      <c r="A157">
        <v>145</v>
      </c>
      <c r="B157" t="str">
        <f>IF(moushikubun145="","追加",moushikubun145)</f>
        <v>追加</v>
      </c>
      <c r="C157" t="str">
        <f>shubetsu145&amp;""</f>
        <v/>
      </c>
      <c r="D157" t="str">
        <f>billid145&amp;""</f>
        <v/>
      </c>
      <c r="E157" t="str">
        <f>UPPER(SUBSTITUTE(番明[[#This Row],[ご請求番号]],"-",""))</f>
        <v/>
      </c>
      <c r="F157" t="str">
        <f>keiyakuid145&amp;""</f>
        <v/>
      </c>
      <c r="G157">
        <f>IF(companyyn145="既存コードに追加",1,0)</f>
        <v>0</v>
      </c>
      <c r="H157" t="str">
        <f>companycode145&amp;""</f>
        <v/>
      </c>
      <c r="I157" t="str">
        <f>IF(accelikkatsu145="","希望しない",accelikkatsu145)</f>
        <v>希望しない</v>
      </c>
      <c r="J157" t="str">
        <f>IF(belugabunyn145="","なし",belugabunyn145)</f>
        <v>なし</v>
      </c>
      <c r="K157" t="str">
        <f>belugabun145&amp;""</f>
        <v/>
      </c>
      <c r="L157" t="b">
        <f>shutoku145</f>
        <v>0</v>
      </c>
    </row>
    <row r="158" spans="1:12">
      <c r="A158">
        <v>146</v>
      </c>
      <c r="B158" t="str">
        <f>IF(moushikubun146="","追加",moushikubun146)</f>
        <v>追加</v>
      </c>
      <c r="C158" t="str">
        <f>shubetsu146&amp;""</f>
        <v/>
      </c>
      <c r="D158" t="str">
        <f>billid146&amp;""</f>
        <v/>
      </c>
      <c r="E158" t="str">
        <f>UPPER(SUBSTITUTE(番明[[#This Row],[ご請求番号]],"-",""))</f>
        <v/>
      </c>
      <c r="F158" t="str">
        <f>keiyakuid146&amp;""</f>
        <v/>
      </c>
      <c r="G158">
        <f>IF(companyyn146="既存コードに追加",1,0)</f>
        <v>0</v>
      </c>
      <c r="H158" t="str">
        <f>companycode146&amp;""</f>
        <v/>
      </c>
      <c r="I158" t="str">
        <f>IF(accelikkatsu146="","希望しない",accelikkatsu146)</f>
        <v>希望しない</v>
      </c>
      <c r="J158" t="str">
        <f>IF(belugabunyn146="","なし",belugabunyn146)</f>
        <v>なし</v>
      </c>
      <c r="K158" t="str">
        <f>belugabun146&amp;""</f>
        <v/>
      </c>
      <c r="L158" t="b">
        <f>shutoku146</f>
        <v>0</v>
      </c>
    </row>
    <row r="159" spans="1:12">
      <c r="A159">
        <v>147</v>
      </c>
      <c r="B159" t="str">
        <f>IF(moushikubun147="","追加",moushikubun147)</f>
        <v>追加</v>
      </c>
      <c r="C159" t="str">
        <f>shubetsu147&amp;""</f>
        <v/>
      </c>
      <c r="D159" t="str">
        <f>billid147&amp;""</f>
        <v/>
      </c>
      <c r="E159" t="str">
        <f>UPPER(SUBSTITUTE(番明[[#This Row],[ご請求番号]],"-",""))</f>
        <v/>
      </c>
      <c r="F159" t="str">
        <f>keiyakuid147&amp;""</f>
        <v/>
      </c>
      <c r="G159">
        <f>IF(companyyn147="既存コードに追加",1,0)</f>
        <v>0</v>
      </c>
      <c r="H159" t="str">
        <f>companycode147&amp;""</f>
        <v/>
      </c>
      <c r="I159" t="str">
        <f>IF(accelikkatsu147="","希望しない",accelikkatsu147)</f>
        <v>希望しない</v>
      </c>
      <c r="J159" t="str">
        <f>IF(belugabunyn147="","なし",belugabunyn147)</f>
        <v>なし</v>
      </c>
      <c r="K159" t="str">
        <f>belugabun147&amp;""</f>
        <v/>
      </c>
      <c r="L159" t="b">
        <f>shutoku147</f>
        <v>0</v>
      </c>
    </row>
    <row r="160" spans="1:12">
      <c r="A160">
        <v>148</v>
      </c>
      <c r="B160" t="str">
        <f>IF(moushikubun148="","追加",moushikubun148)</f>
        <v>追加</v>
      </c>
      <c r="C160" t="str">
        <f>shubetsu148&amp;""</f>
        <v/>
      </c>
      <c r="D160" t="str">
        <f>billid148&amp;""</f>
        <v/>
      </c>
      <c r="E160" t="str">
        <f>UPPER(SUBSTITUTE(番明[[#This Row],[ご請求番号]],"-",""))</f>
        <v/>
      </c>
      <c r="F160" t="str">
        <f>keiyakuid148&amp;""</f>
        <v/>
      </c>
      <c r="G160">
        <f>IF(companyyn148="既存コードに追加",1,0)</f>
        <v>0</v>
      </c>
      <c r="H160" t="str">
        <f>companycode148&amp;""</f>
        <v/>
      </c>
      <c r="I160" t="str">
        <f>IF(accelikkatsu148="","希望しない",accelikkatsu148)</f>
        <v>希望しない</v>
      </c>
      <c r="J160" t="str">
        <f>IF(belugabunyn148="","なし",belugabunyn148)</f>
        <v>なし</v>
      </c>
      <c r="K160" t="str">
        <f>belugabun148&amp;""</f>
        <v/>
      </c>
      <c r="L160" t="b">
        <f>shutoku148</f>
        <v>0</v>
      </c>
    </row>
    <row r="161" spans="1:12">
      <c r="A161">
        <v>149</v>
      </c>
      <c r="B161" t="str">
        <f>IF(moushikubun149="","追加",moushikubun149)</f>
        <v>追加</v>
      </c>
      <c r="C161" t="str">
        <f>shubetsu149&amp;""</f>
        <v/>
      </c>
      <c r="D161" t="str">
        <f>billid149&amp;""</f>
        <v/>
      </c>
      <c r="E161" t="str">
        <f>UPPER(SUBSTITUTE(番明[[#This Row],[ご請求番号]],"-",""))</f>
        <v/>
      </c>
      <c r="F161" t="str">
        <f>keiyakuid149&amp;""</f>
        <v/>
      </c>
      <c r="G161">
        <f>IF(companyyn149="既存コードに追加",1,0)</f>
        <v>0</v>
      </c>
      <c r="H161" t="str">
        <f>companycode149&amp;""</f>
        <v/>
      </c>
      <c r="I161" t="str">
        <f>IF(accelikkatsu149="","希望しない",accelikkatsu149)</f>
        <v>希望しない</v>
      </c>
      <c r="J161" t="str">
        <f>IF(belugabunyn149="","なし",belugabunyn149)</f>
        <v>なし</v>
      </c>
      <c r="K161" t="str">
        <f>belugabun149&amp;""</f>
        <v/>
      </c>
      <c r="L161" t="b">
        <f>shutoku149</f>
        <v>0</v>
      </c>
    </row>
    <row r="162" spans="1:12">
      <c r="A162">
        <v>150</v>
      </c>
      <c r="B162" t="str">
        <f>IF(moushikubun150="","追加",moushikubun150)</f>
        <v>追加</v>
      </c>
      <c r="C162" t="str">
        <f>shubetsu150&amp;""</f>
        <v/>
      </c>
      <c r="D162" t="str">
        <f>billid150&amp;""</f>
        <v/>
      </c>
      <c r="E162" t="str">
        <f>UPPER(SUBSTITUTE(番明[[#This Row],[ご請求番号]],"-",""))</f>
        <v/>
      </c>
      <c r="F162" t="str">
        <f>keiyakuid150&amp;""</f>
        <v/>
      </c>
      <c r="G162">
        <f>IF(companyyn150="既存コードに追加",1,0)</f>
        <v>0</v>
      </c>
      <c r="H162" t="str">
        <f>companycode150&amp;""</f>
        <v/>
      </c>
      <c r="I162" t="str">
        <f>IF(accelikkatsu150="","希望しない",accelikkatsu150)</f>
        <v>希望しない</v>
      </c>
      <c r="J162" t="str">
        <f>IF(belugabunyn150="","なし",belugabunyn150)</f>
        <v>なし</v>
      </c>
      <c r="K162" t="str">
        <f>belugabun150&amp;""</f>
        <v/>
      </c>
      <c r="L162" t="b">
        <f>shutoku150</f>
        <v>0</v>
      </c>
    </row>
    <row r="163" spans="1:12">
      <c r="A163">
        <v>151</v>
      </c>
      <c r="B163" t="str">
        <f>IF(moushikubun151="","追加",moushikubun151)</f>
        <v>追加</v>
      </c>
      <c r="C163" t="str">
        <f>shubetsu151&amp;""</f>
        <v/>
      </c>
      <c r="D163" t="str">
        <f>billid151&amp;""</f>
        <v/>
      </c>
      <c r="E163" t="str">
        <f>UPPER(SUBSTITUTE(番明[[#This Row],[ご請求番号]],"-",""))</f>
        <v/>
      </c>
      <c r="F163" t="str">
        <f>keiyakuid151&amp;""</f>
        <v/>
      </c>
      <c r="G163">
        <f>IF(companyyn151="既存コードに追加",1,0)</f>
        <v>0</v>
      </c>
      <c r="H163" t="str">
        <f>companycode151&amp;""</f>
        <v/>
      </c>
      <c r="I163" t="str">
        <f>IF(accelikkatsu151="","希望しない",accelikkatsu151)</f>
        <v>希望しない</v>
      </c>
      <c r="J163" t="str">
        <f>IF(belugabunyn151="","なし",belugabunyn151)</f>
        <v>なし</v>
      </c>
      <c r="K163" t="str">
        <f>belugabun151&amp;""</f>
        <v/>
      </c>
      <c r="L163" t="b">
        <f>shutoku151</f>
        <v>0</v>
      </c>
    </row>
    <row r="164" spans="1:12">
      <c r="A164">
        <v>152</v>
      </c>
      <c r="B164" t="str">
        <f>IF(moushikubun152="","追加",moushikubun152)</f>
        <v>追加</v>
      </c>
      <c r="C164" t="str">
        <f>shubetsu152&amp;""</f>
        <v/>
      </c>
      <c r="D164" t="str">
        <f>billid152&amp;""</f>
        <v/>
      </c>
      <c r="E164" t="str">
        <f>UPPER(SUBSTITUTE(番明[[#This Row],[ご請求番号]],"-",""))</f>
        <v/>
      </c>
      <c r="F164" t="str">
        <f>keiyakuid152&amp;""</f>
        <v/>
      </c>
      <c r="G164">
        <f>IF(companyyn152="既存コードに追加",1,0)</f>
        <v>0</v>
      </c>
      <c r="H164" t="str">
        <f>companycode152&amp;""</f>
        <v/>
      </c>
      <c r="I164" t="str">
        <f>IF(accelikkatsu152="","希望しない",accelikkatsu152)</f>
        <v>希望しない</v>
      </c>
      <c r="J164" t="str">
        <f>IF(belugabunyn152="","なし",belugabunyn152)</f>
        <v>なし</v>
      </c>
      <c r="K164" t="str">
        <f>belugabun152&amp;""</f>
        <v/>
      </c>
      <c r="L164" t="b">
        <f>shutoku152</f>
        <v>0</v>
      </c>
    </row>
    <row r="165" spans="1:12">
      <c r="A165">
        <v>153</v>
      </c>
      <c r="B165" t="str">
        <f>IF(moushikubun153="","追加",moushikubun153)</f>
        <v>追加</v>
      </c>
      <c r="C165" t="str">
        <f>shubetsu153&amp;""</f>
        <v/>
      </c>
      <c r="D165" t="str">
        <f>billid153&amp;""</f>
        <v/>
      </c>
      <c r="E165" t="str">
        <f>UPPER(SUBSTITUTE(番明[[#This Row],[ご請求番号]],"-",""))</f>
        <v/>
      </c>
      <c r="F165" t="str">
        <f>keiyakuid153&amp;""</f>
        <v/>
      </c>
      <c r="G165">
        <f>IF(companyyn153="既存コードに追加",1,0)</f>
        <v>0</v>
      </c>
      <c r="H165" t="str">
        <f>companycode153&amp;""</f>
        <v/>
      </c>
      <c r="I165" t="str">
        <f>IF(accelikkatsu153="","希望しない",accelikkatsu153)</f>
        <v>希望しない</v>
      </c>
      <c r="J165" t="str">
        <f>IF(belugabunyn153="","なし",belugabunyn153)</f>
        <v>なし</v>
      </c>
      <c r="K165" t="str">
        <f>belugabun153&amp;""</f>
        <v/>
      </c>
      <c r="L165" t="b">
        <f>shutoku153</f>
        <v>0</v>
      </c>
    </row>
    <row r="166" spans="1:12">
      <c r="A166">
        <v>154</v>
      </c>
      <c r="B166" t="str">
        <f>IF(moushikubun154="","追加",moushikubun154)</f>
        <v>追加</v>
      </c>
      <c r="C166" t="str">
        <f>shubetsu154&amp;""</f>
        <v/>
      </c>
      <c r="D166" t="str">
        <f>billid154&amp;""</f>
        <v/>
      </c>
      <c r="E166" t="str">
        <f>UPPER(SUBSTITUTE(番明[[#This Row],[ご請求番号]],"-",""))</f>
        <v/>
      </c>
      <c r="F166" t="str">
        <f>keiyakuid154&amp;""</f>
        <v/>
      </c>
      <c r="G166">
        <f>IF(companyyn154="既存コードに追加",1,0)</f>
        <v>0</v>
      </c>
      <c r="H166" t="str">
        <f>companycode154&amp;""</f>
        <v/>
      </c>
      <c r="I166" t="str">
        <f>IF(accelikkatsu154="","希望しない",accelikkatsu154)</f>
        <v>希望しない</v>
      </c>
      <c r="J166" t="str">
        <f>IF(belugabunyn154="","なし",belugabunyn154)</f>
        <v>なし</v>
      </c>
      <c r="K166" t="str">
        <f>belugabun154&amp;""</f>
        <v/>
      </c>
      <c r="L166" t="b">
        <f>shutoku154</f>
        <v>0</v>
      </c>
    </row>
    <row r="167" spans="1:12">
      <c r="A167">
        <v>155</v>
      </c>
      <c r="B167" t="str">
        <f>IF(moushikubun155="","追加",moushikubun155)</f>
        <v>追加</v>
      </c>
      <c r="C167" t="str">
        <f>shubetsu155&amp;""</f>
        <v/>
      </c>
      <c r="D167" t="str">
        <f>billid155&amp;""</f>
        <v/>
      </c>
      <c r="E167" t="str">
        <f>UPPER(SUBSTITUTE(番明[[#This Row],[ご請求番号]],"-",""))</f>
        <v/>
      </c>
      <c r="F167" t="str">
        <f>keiyakuid155&amp;""</f>
        <v/>
      </c>
      <c r="G167">
        <f>IF(companyyn155="既存コードに追加",1,0)</f>
        <v>0</v>
      </c>
      <c r="H167" t="str">
        <f>companycode155&amp;""</f>
        <v/>
      </c>
      <c r="I167" t="str">
        <f>IF(accelikkatsu155="","希望しない",accelikkatsu155)</f>
        <v>希望しない</v>
      </c>
      <c r="J167" t="str">
        <f>IF(belugabunyn155="","なし",belugabunyn155)</f>
        <v>なし</v>
      </c>
      <c r="K167" t="str">
        <f>belugabun155&amp;""</f>
        <v/>
      </c>
      <c r="L167" t="b">
        <f>shutoku155</f>
        <v>0</v>
      </c>
    </row>
    <row r="168" spans="1:12">
      <c r="A168">
        <v>156</v>
      </c>
      <c r="B168" t="str">
        <f>IF(moushikubun156="","追加",moushikubun156)</f>
        <v>追加</v>
      </c>
      <c r="C168" t="str">
        <f>shubetsu156&amp;""</f>
        <v/>
      </c>
      <c r="D168" t="str">
        <f>billid156&amp;""</f>
        <v/>
      </c>
      <c r="E168" t="str">
        <f>UPPER(SUBSTITUTE(番明[[#This Row],[ご請求番号]],"-",""))</f>
        <v/>
      </c>
      <c r="F168" t="str">
        <f>keiyakuid156&amp;""</f>
        <v/>
      </c>
      <c r="G168">
        <f>IF(companyyn156="既存コードに追加",1,0)</f>
        <v>0</v>
      </c>
      <c r="H168" t="str">
        <f>companycode156&amp;""</f>
        <v/>
      </c>
      <c r="I168" t="str">
        <f>IF(accelikkatsu156="","希望しない",accelikkatsu156)</f>
        <v>希望しない</v>
      </c>
      <c r="J168" t="str">
        <f>IF(belugabunyn156="","なし",belugabunyn156)</f>
        <v>なし</v>
      </c>
      <c r="K168" t="str">
        <f>belugabun156&amp;""</f>
        <v/>
      </c>
      <c r="L168" t="b">
        <f>shutoku156</f>
        <v>0</v>
      </c>
    </row>
    <row r="169" spans="1:12">
      <c r="A169">
        <v>157</v>
      </c>
      <c r="B169" t="str">
        <f>IF(moushikubun157="","追加",moushikubun157)</f>
        <v>追加</v>
      </c>
      <c r="C169" t="str">
        <f>shubetsu157&amp;""</f>
        <v/>
      </c>
      <c r="D169" t="str">
        <f>billid157&amp;""</f>
        <v/>
      </c>
      <c r="E169" t="str">
        <f>UPPER(SUBSTITUTE(番明[[#This Row],[ご請求番号]],"-",""))</f>
        <v/>
      </c>
      <c r="F169" t="str">
        <f>keiyakuid157&amp;""</f>
        <v/>
      </c>
      <c r="G169">
        <f>IF(companyyn157="既存コードに追加",1,0)</f>
        <v>0</v>
      </c>
      <c r="H169" t="str">
        <f>companycode157&amp;""</f>
        <v/>
      </c>
      <c r="I169" t="str">
        <f>IF(accelikkatsu157="","希望しない",accelikkatsu157)</f>
        <v>希望しない</v>
      </c>
      <c r="J169" t="str">
        <f>IF(belugabunyn157="","なし",belugabunyn157)</f>
        <v>なし</v>
      </c>
      <c r="K169" t="str">
        <f>belugabun157&amp;""</f>
        <v/>
      </c>
      <c r="L169" t="b">
        <f>shutoku157</f>
        <v>0</v>
      </c>
    </row>
    <row r="170" spans="1:12">
      <c r="A170">
        <v>158</v>
      </c>
      <c r="B170" t="str">
        <f>IF(moushikubun158="","追加",moushikubun158)</f>
        <v>追加</v>
      </c>
      <c r="C170" t="str">
        <f>shubetsu158&amp;""</f>
        <v/>
      </c>
      <c r="D170" t="str">
        <f>billid158&amp;""</f>
        <v/>
      </c>
      <c r="E170" t="str">
        <f>UPPER(SUBSTITUTE(番明[[#This Row],[ご請求番号]],"-",""))</f>
        <v/>
      </c>
      <c r="F170" t="str">
        <f>keiyakuid158&amp;""</f>
        <v/>
      </c>
      <c r="G170">
        <f>IF(companyyn158="既存コードに追加",1,0)</f>
        <v>0</v>
      </c>
      <c r="H170" t="str">
        <f>companycode158&amp;""</f>
        <v/>
      </c>
      <c r="I170" t="str">
        <f>IF(accelikkatsu158="","希望しない",accelikkatsu158)</f>
        <v>希望しない</v>
      </c>
      <c r="J170" t="str">
        <f>IF(belugabunyn158="","なし",belugabunyn158)</f>
        <v>なし</v>
      </c>
      <c r="K170" t="str">
        <f>belugabun158&amp;""</f>
        <v/>
      </c>
      <c r="L170" t="b">
        <f>shutoku158</f>
        <v>0</v>
      </c>
    </row>
    <row r="171" spans="1:12">
      <c r="A171">
        <v>159</v>
      </c>
      <c r="B171" t="str">
        <f>IF(moushikubun159="","追加",moushikubun159)</f>
        <v>追加</v>
      </c>
      <c r="C171" t="str">
        <f>shubetsu159&amp;""</f>
        <v/>
      </c>
      <c r="D171" t="str">
        <f>billid159&amp;""</f>
        <v/>
      </c>
      <c r="E171" t="str">
        <f>UPPER(SUBSTITUTE(番明[[#This Row],[ご請求番号]],"-",""))</f>
        <v/>
      </c>
      <c r="F171" t="str">
        <f>keiyakuid159&amp;""</f>
        <v/>
      </c>
      <c r="G171">
        <f>IF(companyyn159="既存コードに追加",1,0)</f>
        <v>0</v>
      </c>
      <c r="H171" t="str">
        <f>companycode159&amp;""</f>
        <v/>
      </c>
      <c r="I171" t="str">
        <f>IF(accelikkatsu159="","希望しない",accelikkatsu159)</f>
        <v>希望しない</v>
      </c>
      <c r="J171" t="str">
        <f>IF(belugabunyn159="","なし",belugabunyn159)</f>
        <v>なし</v>
      </c>
      <c r="K171" t="str">
        <f>belugabun159&amp;""</f>
        <v/>
      </c>
      <c r="L171" t="b">
        <f>shutoku159</f>
        <v>0</v>
      </c>
    </row>
    <row r="172" spans="1:12">
      <c r="A172">
        <v>160</v>
      </c>
      <c r="B172" t="str">
        <f>IF(moushikubun160="","追加",moushikubun160)</f>
        <v>追加</v>
      </c>
      <c r="C172" t="str">
        <f>shubetsu160&amp;""</f>
        <v/>
      </c>
      <c r="D172" t="str">
        <f>billid160&amp;""</f>
        <v/>
      </c>
      <c r="E172" t="str">
        <f>UPPER(SUBSTITUTE(番明[[#This Row],[ご請求番号]],"-",""))</f>
        <v/>
      </c>
      <c r="F172" t="str">
        <f>keiyakuid160&amp;""</f>
        <v/>
      </c>
      <c r="G172">
        <f>IF(companyyn160="既存コードに追加",1,0)</f>
        <v>0</v>
      </c>
      <c r="H172" t="str">
        <f>companycode160&amp;""</f>
        <v/>
      </c>
      <c r="I172" t="str">
        <f>IF(accelikkatsu160="","希望しない",accelikkatsu160)</f>
        <v>希望しない</v>
      </c>
      <c r="J172" t="str">
        <f>IF(belugabunyn160="","なし",belugabunyn160)</f>
        <v>なし</v>
      </c>
      <c r="K172" t="str">
        <f>belugabun160&amp;""</f>
        <v/>
      </c>
      <c r="L172" t="b">
        <f>shutoku160</f>
        <v>0</v>
      </c>
    </row>
    <row r="173" spans="1:12">
      <c r="A173">
        <v>161</v>
      </c>
      <c r="B173" t="str">
        <f>IF(moushikubun161="","追加",moushikubun161)</f>
        <v>追加</v>
      </c>
      <c r="C173" t="str">
        <f>shubetsu161&amp;""</f>
        <v/>
      </c>
      <c r="D173" t="str">
        <f>billid161&amp;""</f>
        <v/>
      </c>
      <c r="E173" t="str">
        <f>UPPER(SUBSTITUTE(番明[[#This Row],[ご請求番号]],"-",""))</f>
        <v/>
      </c>
      <c r="F173" t="str">
        <f>keiyakuid161&amp;""</f>
        <v/>
      </c>
      <c r="G173">
        <f>IF(companyyn161="既存コードに追加",1,0)</f>
        <v>0</v>
      </c>
      <c r="H173" t="str">
        <f>companycode161&amp;""</f>
        <v/>
      </c>
      <c r="I173" t="str">
        <f>IF(accelikkatsu161="","希望しない",accelikkatsu161)</f>
        <v>希望しない</v>
      </c>
      <c r="J173" t="str">
        <f>IF(belugabunyn161="","なし",belugabunyn161)</f>
        <v>なし</v>
      </c>
      <c r="K173" t="str">
        <f>belugabun161&amp;""</f>
        <v/>
      </c>
      <c r="L173" t="b">
        <f>shutoku161</f>
        <v>0</v>
      </c>
    </row>
    <row r="174" spans="1:12">
      <c r="A174">
        <v>162</v>
      </c>
      <c r="B174" t="str">
        <f>IF(moushikubun162="","追加",moushikubun162)</f>
        <v>追加</v>
      </c>
      <c r="C174" t="str">
        <f>shubetsu162&amp;""</f>
        <v/>
      </c>
      <c r="D174" t="str">
        <f>billid162&amp;""</f>
        <v/>
      </c>
      <c r="E174" t="str">
        <f>UPPER(SUBSTITUTE(番明[[#This Row],[ご請求番号]],"-",""))</f>
        <v/>
      </c>
      <c r="F174" t="str">
        <f>keiyakuid162&amp;""</f>
        <v/>
      </c>
      <c r="G174">
        <f>IF(companyyn162="既存コードに追加",1,0)</f>
        <v>0</v>
      </c>
      <c r="H174" t="str">
        <f>companycode162&amp;""</f>
        <v/>
      </c>
      <c r="I174" t="str">
        <f>IF(accelikkatsu162="","希望しない",accelikkatsu162)</f>
        <v>希望しない</v>
      </c>
      <c r="J174" t="str">
        <f>IF(belugabunyn162="","なし",belugabunyn162)</f>
        <v>なし</v>
      </c>
      <c r="K174" t="str">
        <f>belugabun162&amp;""</f>
        <v/>
      </c>
      <c r="L174" t="b">
        <f>shutoku162</f>
        <v>0</v>
      </c>
    </row>
    <row r="175" spans="1:12">
      <c r="A175">
        <v>163</v>
      </c>
      <c r="B175" t="str">
        <f>IF(moushikubun163="","追加",moushikubun163)</f>
        <v>追加</v>
      </c>
      <c r="C175" t="str">
        <f>shubetsu163&amp;""</f>
        <v/>
      </c>
      <c r="D175" t="str">
        <f>billid163&amp;""</f>
        <v/>
      </c>
      <c r="E175" t="str">
        <f>UPPER(SUBSTITUTE(番明[[#This Row],[ご請求番号]],"-",""))</f>
        <v/>
      </c>
      <c r="F175" t="str">
        <f>keiyakuid163&amp;""</f>
        <v/>
      </c>
      <c r="G175">
        <f>IF(companyyn163="既存コードに追加",1,0)</f>
        <v>0</v>
      </c>
      <c r="H175" t="str">
        <f>companycode163&amp;""</f>
        <v/>
      </c>
      <c r="I175" t="str">
        <f>IF(accelikkatsu163="","希望しない",accelikkatsu163)</f>
        <v>希望しない</v>
      </c>
      <c r="J175" t="str">
        <f>IF(belugabunyn163="","なし",belugabunyn163)</f>
        <v>なし</v>
      </c>
      <c r="K175" t="str">
        <f>belugabun163&amp;""</f>
        <v/>
      </c>
      <c r="L175" t="b">
        <f>shutoku163</f>
        <v>0</v>
      </c>
    </row>
    <row r="176" spans="1:12">
      <c r="A176">
        <v>164</v>
      </c>
      <c r="B176" t="str">
        <f>IF(moushikubun164="","追加",moushikubun164)</f>
        <v>追加</v>
      </c>
      <c r="C176" t="str">
        <f>shubetsu164&amp;""</f>
        <v/>
      </c>
      <c r="D176" t="str">
        <f>billid164&amp;""</f>
        <v/>
      </c>
      <c r="E176" t="str">
        <f>UPPER(SUBSTITUTE(番明[[#This Row],[ご請求番号]],"-",""))</f>
        <v/>
      </c>
      <c r="F176" t="str">
        <f>keiyakuid164&amp;""</f>
        <v/>
      </c>
      <c r="G176">
        <f>IF(companyyn164="既存コードに追加",1,0)</f>
        <v>0</v>
      </c>
      <c r="H176" t="str">
        <f>companycode164&amp;""</f>
        <v/>
      </c>
      <c r="I176" t="str">
        <f>IF(accelikkatsu164="","希望しない",accelikkatsu164)</f>
        <v>希望しない</v>
      </c>
      <c r="J176" t="str">
        <f>IF(belugabunyn164="","なし",belugabunyn164)</f>
        <v>なし</v>
      </c>
      <c r="K176" t="str">
        <f>belugabun164&amp;""</f>
        <v/>
      </c>
      <c r="L176" t="b">
        <f>shutoku164</f>
        <v>0</v>
      </c>
    </row>
    <row r="177" spans="1:12">
      <c r="A177">
        <v>165</v>
      </c>
      <c r="B177" t="str">
        <f>IF(moushikubun165="","追加",moushikubun165)</f>
        <v>追加</v>
      </c>
      <c r="C177" t="str">
        <f>shubetsu165&amp;""</f>
        <v/>
      </c>
      <c r="D177" t="str">
        <f>billid165&amp;""</f>
        <v/>
      </c>
      <c r="E177" t="str">
        <f>UPPER(SUBSTITUTE(番明[[#This Row],[ご請求番号]],"-",""))</f>
        <v/>
      </c>
      <c r="F177" t="str">
        <f>keiyakuid165&amp;""</f>
        <v/>
      </c>
      <c r="G177">
        <f>IF(companyyn165="既存コードに追加",1,0)</f>
        <v>0</v>
      </c>
      <c r="H177" t="str">
        <f>companycode165&amp;""</f>
        <v/>
      </c>
      <c r="I177" t="str">
        <f>IF(accelikkatsu165="","希望しない",accelikkatsu165)</f>
        <v>希望しない</v>
      </c>
      <c r="J177" t="str">
        <f>IF(belugabunyn165="","なし",belugabunyn165)</f>
        <v>なし</v>
      </c>
      <c r="K177" t="str">
        <f>belugabun165&amp;""</f>
        <v/>
      </c>
      <c r="L177" t="b">
        <f>shutoku165</f>
        <v>0</v>
      </c>
    </row>
    <row r="178" spans="1:12">
      <c r="A178">
        <v>166</v>
      </c>
      <c r="B178" t="str">
        <f>IF(moushikubun166="","追加",moushikubun166)</f>
        <v>追加</v>
      </c>
      <c r="C178" t="str">
        <f>shubetsu166&amp;""</f>
        <v/>
      </c>
      <c r="D178" t="str">
        <f>billid166&amp;""</f>
        <v/>
      </c>
      <c r="E178" t="str">
        <f>UPPER(SUBSTITUTE(番明[[#This Row],[ご請求番号]],"-",""))</f>
        <v/>
      </c>
      <c r="F178" t="str">
        <f>keiyakuid166&amp;""</f>
        <v/>
      </c>
      <c r="G178">
        <f>IF(companyyn166="既存コードに追加",1,0)</f>
        <v>0</v>
      </c>
      <c r="H178" t="str">
        <f>companycode166&amp;""</f>
        <v/>
      </c>
      <c r="I178" t="str">
        <f>IF(accelikkatsu166="","希望しない",accelikkatsu166)</f>
        <v>希望しない</v>
      </c>
      <c r="J178" t="str">
        <f>IF(belugabunyn166="","なし",belugabunyn166)</f>
        <v>なし</v>
      </c>
      <c r="K178" t="str">
        <f>belugabun166&amp;""</f>
        <v/>
      </c>
      <c r="L178" t="b">
        <f>shutoku166</f>
        <v>0</v>
      </c>
    </row>
    <row r="179" spans="1:12">
      <c r="A179">
        <v>167</v>
      </c>
      <c r="B179" t="str">
        <f>IF(moushikubun167="","追加",moushikubun167)</f>
        <v>追加</v>
      </c>
      <c r="C179" t="str">
        <f>shubetsu167&amp;""</f>
        <v/>
      </c>
      <c r="D179" t="str">
        <f>billid167&amp;""</f>
        <v/>
      </c>
      <c r="E179" t="str">
        <f>UPPER(SUBSTITUTE(番明[[#This Row],[ご請求番号]],"-",""))</f>
        <v/>
      </c>
      <c r="F179" t="str">
        <f>keiyakuid167&amp;""</f>
        <v/>
      </c>
      <c r="G179">
        <f>IF(companyyn167="既存コードに追加",1,0)</f>
        <v>0</v>
      </c>
      <c r="H179" t="str">
        <f>companycode167&amp;""</f>
        <v/>
      </c>
      <c r="I179" t="str">
        <f>IF(accelikkatsu167="","希望しない",accelikkatsu167)</f>
        <v>希望しない</v>
      </c>
      <c r="J179" t="str">
        <f>IF(belugabunyn167="","なし",belugabunyn167)</f>
        <v>なし</v>
      </c>
      <c r="K179" t="str">
        <f>belugabun167&amp;""</f>
        <v/>
      </c>
      <c r="L179" t="b">
        <f>shutoku167</f>
        <v>0</v>
      </c>
    </row>
    <row r="180" spans="1:12">
      <c r="A180">
        <v>168</v>
      </c>
      <c r="B180" t="str">
        <f>IF(moushikubun168="","追加",moushikubun168)</f>
        <v>追加</v>
      </c>
      <c r="C180" t="str">
        <f>shubetsu168&amp;""</f>
        <v/>
      </c>
      <c r="D180" t="str">
        <f>billid168&amp;""</f>
        <v/>
      </c>
      <c r="E180" t="str">
        <f>UPPER(SUBSTITUTE(番明[[#This Row],[ご請求番号]],"-",""))</f>
        <v/>
      </c>
      <c r="F180" t="str">
        <f>keiyakuid168&amp;""</f>
        <v/>
      </c>
      <c r="G180">
        <f>IF(companyyn168="既存コードに追加",1,0)</f>
        <v>0</v>
      </c>
      <c r="H180" t="str">
        <f>companycode168&amp;""</f>
        <v/>
      </c>
      <c r="I180" t="str">
        <f>IF(accelikkatsu168="","希望しない",accelikkatsu168)</f>
        <v>希望しない</v>
      </c>
      <c r="J180" t="str">
        <f>IF(belugabunyn168="","なし",belugabunyn168)</f>
        <v>なし</v>
      </c>
      <c r="K180" t="str">
        <f>belugabun168&amp;""</f>
        <v/>
      </c>
      <c r="L180" t="b">
        <f>shutoku168</f>
        <v>0</v>
      </c>
    </row>
    <row r="181" spans="1:12">
      <c r="A181">
        <v>169</v>
      </c>
      <c r="B181" t="str">
        <f>IF(moushikubun169="","追加",moushikubun169)</f>
        <v>追加</v>
      </c>
      <c r="C181" t="str">
        <f>shubetsu169&amp;""</f>
        <v/>
      </c>
      <c r="D181" t="str">
        <f>billid169&amp;""</f>
        <v/>
      </c>
      <c r="E181" t="str">
        <f>UPPER(SUBSTITUTE(番明[[#This Row],[ご請求番号]],"-",""))</f>
        <v/>
      </c>
      <c r="F181" t="str">
        <f>keiyakuid169&amp;""</f>
        <v/>
      </c>
      <c r="G181">
        <f>IF(companyyn169="既存コードに追加",1,0)</f>
        <v>0</v>
      </c>
      <c r="H181" t="str">
        <f>companycode169&amp;""</f>
        <v/>
      </c>
      <c r="I181" t="str">
        <f>IF(accelikkatsu169="","希望しない",accelikkatsu169)</f>
        <v>希望しない</v>
      </c>
      <c r="J181" t="str">
        <f>IF(belugabunyn169="","なし",belugabunyn169)</f>
        <v>なし</v>
      </c>
      <c r="K181" t="str">
        <f>belugabun169&amp;""</f>
        <v/>
      </c>
      <c r="L181" t="b">
        <f>shutoku169</f>
        <v>0</v>
      </c>
    </row>
    <row r="182" spans="1:12">
      <c r="A182">
        <v>170</v>
      </c>
      <c r="B182" t="str">
        <f>IF(moushikubun170="","追加",moushikubun170)</f>
        <v>追加</v>
      </c>
      <c r="C182" t="str">
        <f>shubetsu170&amp;""</f>
        <v/>
      </c>
      <c r="D182" t="str">
        <f>billid170&amp;""</f>
        <v/>
      </c>
      <c r="E182" t="str">
        <f>UPPER(SUBSTITUTE(番明[[#This Row],[ご請求番号]],"-",""))</f>
        <v/>
      </c>
      <c r="F182" t="str">
        <f>keiyakuid170&amp;""</f>
        <v/>
      </c>
      <c r="G182">
        <f>IF(companyyn170="既存コードに追加",1,0)</f>
        <v>0</v>
      </c>
      <c r="H182" t="str">
        <f>companycode170&amp;""</f>
        <v/>
      </c>
      <c r="I182" t="str">
        <f>IF(accelikkatsu170="","希望しない",accelikkatsu170)</f>
        <v>希望しない</v>
      </c>
      <c r="J182" t="str">
        <f>IF(belugabunyn170="","なし",belugabunyn170)</f>
        <v>なし</v>
      </c>
      <c r="K182" t="str">
        <f>belugabun170&amp;""</f>
        <v/>
      </c>
      <c r="L182" t="b">
        <f>shutoku170</f>
        <v>0</v>
      </c>
    </row>
    <row r="183" spans="1:12">
      <c r="A183">
        <v>171</v>
      </c>
      <c r="B183" t="str">
        <f>IF(moushikubun171="","追加",moushikubun171)</f>
        <v>追加</v>
      </c>
      <c r="C183" t="str">
        <f>shubetsu171&amp;""</f>
        <v/>
      </c>
      <c r="D183" t="str">
        <f>billid171&amp;""</f>
        <v/>
      </c>
      <c r="E183" t="str">
        <f>UPPER(SUBSTITUTE(番明[[#This Row],[ご請求番号]],"-",""))</f>
        <v/>
      </c>
      <c r="F183" t="str">
        <f>keiyakuid171&amp;""</f>
        <v/>
      </c>
      <c r="G183">
        <f>IF(companyyn171="既存コードに追加",1,0)</f>
        <v>0</v>
      </c>
      <c r="H183" t="str">
        <f>companycode171&amp;""</f>
        <v/>
      </c>
      <c r="I183" t="str">
        <f>IF(accelikkatsu171="","希望しない",accelikkatsu171)</f>
        <v>希望しない</v>
      </c>
      <c r="J183" t="str">
        <f>IF(belugabunyn171="","なし",belugabunyn171)</f>
        <v>なし</v>
      </c>
      <c r="K183" t="str">
        <f>belugabun171&amp;""</f>
        <v/>
      </c>
      <c r="L183" t="b">
        <f>shutoku171</f>
        <v>0</v>
      </c>
    </row>
    <row r="184" spans="1:12">
      <c r="A184">
        <v>172</v>
      </c>
      <c r="B184" t="str">
        <f>IF(moushikubun172="","追加",moushikubun172)</f>
        <v>追加</v>
      </c>
      <c r="C184" t="str">
        <f>shubetsu172&amp;""</f>
        <v/>
      </c>
      <c r="D184" t="str">
        <f>billid172&amp;""</f>
        <v/>
      </c>
      <c r="E184" t="str">
        <f>UPPER(SUBSTITUTE(番明[[#This Row],[ご請求番号]],"-",""))</f>
        <v/>
      </c>
      <c r="F184" t="str">
        <f>keiyakuid172&amp;""</f>
        <v/>
      </c>
      <c r="G184">
        <f>IF(companyyn172="既存コードに追加",1,0)</f>
        <v>0</v>
      </c>
      <c r="H184" t="str">
        <f>companycode172&amp;""</f>
        <v/>
      </c>
      <c r="I184" t="str">
        <f>IF(accelikkatsu172="","希望しない",accelikkatsu172)</f>
        <v>希望しない</v>
      </c>
      <c r="J184" t="str">
        <f>IF(belugabunyn172="","なし",belugabunyn172)</f>
        <v>なし</v>
      </c>
      <c r="K184" t="str">
        <f>belugabun172&amp;""</f>
        <v/>
      </c>
      <c r="L184" t="b">
        <f>shutoku172</f>
        <v>0</v>
      </c>
    </row>
    <row r="185" spans="1:12">
      <c r="A185">
        <v>173</v>
      </c>
      <c r="B185" t="str">
        <f>IF(moushikubun173="","追加",moushikubun173)</f>
        <v>追加</v>
      </c>
      <c r="C185" t="str">
        <f>shubetsu173&amp;""</f>
        <v/>
      </c>
      <c r="D185" t="str">
        <f>billid173&amp;""</f>
        <v/>
      </c>
      <c r="E185" t="str">
        <f>UPPER(SUBSTITUTE(番明[[#This Row],[ご請求番号]],"-",""))</f>
        <v/>
      </c>
      <c r="F185" t="str">
        <f>keiyakuid173&amp;""</f>
        <v/>
      </c>
      <c r="G185">
        <f>IF(companyyn173="既存コードに追加",1,0)</f>
        <v>0</v>
      </c>
      <c r="H185" t="str">
        <f>companycode173&amp;""</f>
        <v/>
      </c>
      <c r="I185" t="str">
        <f>IF(accelikkatsu173="","希望しない",accelikkatsu173)</f>
        <v>希望しない</v>
      </c>
      <c r="J185" t="str">
        <f>IF(belugabunyn173="","なし",belugabunyn173)</f>
        <v>なし</v>
      </c>
      <c r="K185" t="str">
        <f>belugabun173&amp;""</f>
        <v/>
      </c>
      <c r="L185" t="b">
        <f>shutoku173</f>
        <v>0</v>
      </c>
    </row>
    <row r="186" spans="1:12">
      <c r="A186">
        <v>174</v>
      </c>
      <c r="B186" t="str">
        <f>IF(moushikubun174="","追加",moushikubun174)</f>
        <v>追加</v>
      </c>
      <c r="C186" t="str">
        <f>shubetsu174&amp;""</f>
        <v/>
      </c>
      <c r="D186" t="str">
        <f>billid174&amp;""</f>
        <v/>
      </c>
      <c r="E186" t="str">
        <f>UPPER(SUBSTITUTE(番明[[#This Row],[ご請求番号]],"-",""))</f>
        <v/>
      </c>
      <c r="F186" t="str">
        <f>keiyakuid174&amp;""</f>
        <v/>
      </c>
      <c r="G186">
        <f>IF(companyyn174="既存コードに追加",1,0)</f>
        <v>0</v>
      </c>
      <c r="H186" t="str">
        <f>companycode174&amp;""</f>
        <v/>
      </c>
      <c r="I186" t="str">
        <f>IF(accelikkatsu174="","希望しない",accelikkatsu174)</f>
        <v>希望しない</v>
      </c>
      <c r="J186" t="str">
        <f>IF(belugabunyn174="","なし",belugabunyn174)</f>
        <v>なし</v>
      </c>
      <c r="K186" t="str">
        <f>belugabun174&amp;""</f>
        <v/>
      </c>
      <c r="L186" t="b">
        <f>shutoku174</f>
        <v>0</v>
      </c>
    </row>
    <row r="187" spans="1:12">
      <c r="A187">
        <v>175</v>
      </c>
      <c r="B187" t="str">
        <f>IF(moushikubun175="","追加",moushikubun175)</f>
        <v>追加</v>
      </c>
      <c r="C187" t="str">
        <f>shubetsu175&amp;""</f>
        <v/>
      </c>
      <c r="D187" t="str">
        <f>billid175&amp;""</f>
        <v/>
      </c>
      <c r="E187" t="str">
        <f>UPPER(SUBSTITUTE(番明[[#This Row],[ご請求番号]],"-",""))</f>
        <v/>
      </c>
      <c r="F187" t="str">
        <f>keiyakuid175&amp;""</f>
        <v/>
      </c>
      <c r="G187">
        <f>IF(companyyn175="既存コードに追加",1,0)</f>
        <v>0</v>
      </c>
      <c r="H187" t="str">
        <f>companycode175&amp;""</f>
        <v/>
      </c>
      <c r="I187" t="str">
        <f>IF(accelikkatsu175="","希望しない",accelikkatsu175)</f>
        <v>希望しない</v>
      </c>
      <c r="J187" t="str">
        <f>IF(belugabunyn175="","なし",belugabunyn175)</f>
        <v>なし</v>
      </c>
      <c r="K187" t="str">
        <f>belugabun175&amp;""</f>
        <v/>
      </c>
      <c r="L187" t="b">
        <f>shutoku175</f>
        <v>0</v>
      </c>
    </row>
    <row r="188" spans="1:12">
      <c r="A188">
        <v>176</v>
      </c>
      <c r="B188" t="str">
        <f>IF(moushikubun176="","追加",moushikubun176)</f>
        <v>追加</v>
      </c>
      <c r="C188" t="str">
        <f>shubetsu176&amp;""</f>
        <v/>
      </c>
      <c r="D188" t="str">
        <f>billid176&amp;""</f>
        <v/>
      </c>
      <c r="E188" t="str">
        <f>UPPER(SUBSTITUTE(番明[[#This Row],[ご請求番号]],"-",""))</f>
        <v/>
      </c>
      <c r="F188" t="str">
        <f>keiyakuid176&amp;""</f>
        <v/>
      </c>
      <c r="G188">
        <f>IF(companyyn176="既存コードに追加",1,0)</f>
        <v>0</v>
      </c>
      <c r="H188" t="str">
        <f>companycode176&amp;""</f>
        <v/>
      </c>
      <c r="I188" t="str">
        <f>IF(accelikkatsu176="","希望しない",accelikkatsu176)</f>
        <v>希望しない</v>
      </c>
      <c r="J188" t="str">
        <f>IF(belugabunyn176="","なし",belugabunyn176)</f>
        <v>なし</v>
      </c>
      <c r="K188" t="str">
        <f>belugabun176&amp;""</f>
        <v/>
      </c>
      <c r="L188" t="b">
        <f>shutoku176</f>
        <v>0</v>
      </c>
    </row>
    <row r="189" spans="1:12">
      <c r="A189">
        <v>177</v>
      </c>
      <c r="B189" t="str">
        <f>IF(moushikubun177="","追加",moushikubun177)</f>
        <v>追加</v>
      </c>
      <c r="C189" t="str">
        <f>shubetsu177&amp;""</f>
        <v/>
      </c>
      <c r="D189" t="str">
        <f>billid177&amp;""</f>
        <v/>
      </c>
      <c r="E189" t="str">
        <f>UPPER(SUBSTITUTE(番明[[#This Row],[ご請求番号]],"-",""))</f>
        <v/>
      </c>
      <c r="F189" t="str">
        <f>keiyakuid177&amp;""</f>
        <v/>
      </c>
      <c r="G189">
        <f>IF(companyyn177="既存コードに追加",1,0)</f>
        <v>0</v>
      </c>
      <c r="H189" t="str">
        <f>companycode177&amp;""</f>
        <v/>
      </c>
      <c r="I189" t="str">
        <f>IF(accelikkatsu177="","希望しない",accelikkatsu177)</f>
        <v>希望しない</v>
      </c>
      <c r="J189" t="str">
        <f>IF(belugabunyn177="","なし",belugabunyn177)</f>
        <v>なし</v>
      </c>
      <c r="K189" t="str">
        <f>belugabun177&amp;""</f>
        <v/>
      </c>
      <c r="L189" t="b">
        <f>shutoku177</f>
        <v>0</v>
      </c>
    </row>
    <row r="190" spans="1:12">
      <c r="A190">
        <v>178</v>
      </c>
      <c r="B190" t="str">
        <f>IF(moushikubun178="","追加",moushikubun178)</f>
        <v>追加</v>
      </c>
      <c r="C190" t="str">
        <f>shubetsu178&amp;""</f>
        <v/>
      </c>
      <c r="D190" t="str">
        <f>billid178&amp;""</f>
        <v/>
      </c>
      <c r="E190" t="str">
        <f>UPPER(SUBSTITUTE(番明[[#This Row],[ご請求番号]],"-",""))</f>
        <v/>
      </c>
      <c r="F190" t="str">
        <f>keiyakuid178&amp;""</f>
        <v/>
      </c>
      <c r="G190">
        <f>IF(companyyn178="既存コードに追加",1,0)</f>
        <v>0</v>
      </c>
      <c r="H190" t="str">
        <f>companycode178&amp;""</f>
        <v/>
      </c>
      <c r="I190" t="str">
        <f>IF(accelikkatsu178="","希望しない",accelikkatsu178)</f>
        <v>希望しない</v>
      </c>
      <c r="J190" t="str">
        <f>IF(belugabunyn178="","なし",belugabunyn178)</f>
        <v>なし</v>
      </c>
      <c r="K190" t="str">
        <f>belugabun178&amp;""</f>
        <v/>
      </c>
      <c r="L190" t="b">
        <f>shutoku178</f>
        <v>0</v>
      </c>
    </row>
    <row r="191" spans="1:12">
      <c r="A191">
        <v>179</v>
      </c>
      <c r="B191" t="str">
        <f>IF(moushikubun179="","追加",moushikubun179)</f>
        <v>追加</v>
      </c>
      <c r="C191" t="str">
        <f>shubetsu179&amp;""</f>
        <v/>
      </c>
      <c r="D191" t="str">
        <f>billid179&amp;""</f>
        <v/>
      </c>
      <c r="E191" t="str">
        <f>UPPER(SUBSTITUTE(番明[[#This Row],[ご請求番号]],"-",""))</f>
        <v/>
      </c>
      <c r="F191" t="str">
        <f>keiyakuid179&amp;""</f>
        <v/>
      </c>
      <c r="G191">
        <f>IF(companyyn179="既存コードに追加",1,0)</f>
        <v>0</v>
      </c>
      <c r="H191" t="str">
        <f>companycode179&amp;""</f>
        <v/>
      </c>
      <c r="I191" t="str">
        <f>IF(accelikkatsu179="","希望しない",accelikkatsu179)</f>
        <v>希望しない</v>
      </c>
      <c r="J191" t="str">
        <f>IF(belugabunyn179="","なし",belugabunyn179)</f>
        <v>なし</v>
      </c>
      <c r="K191" t="str">
        <f>belugabun179&amp;""</f>
        <v/>
      </c>
      <c r="L191" t="b">
        <f>shutoku179</f>
        <v>0</v>
      </c>
    </row>
    <row r="192" spans="1:12">
      <c r="A192">
        <v>180</v>
      </c>
      <c r="B192" t="str">
        <f>IF(moushikubun180="","追加",moushikubun180)</f>
        <v>追加</v>
      </c>
      <c r="C192" t="str">
        <f>shubetsu180&amp;""</f>
        <v/>
      </c>
      <c r="D192" t="str">
        <f>billid180&amp;""</f>
        <v/>
      </c>
      <c r="E192" t="str">
        <f>UPPER(SUBSTITUTE(番明[[#This Row],[ご請求番号]],"-",""))</f>
        <v/>
      </c>
      <c r="F192" t="str">
        <f>keiyakuid180&amp;""</f>
        <v/>
      </c>
      <c r="G192">
        <f>IF(companyyn180="既存コードに追加",1,0)</f>
        <v>0</v>
      </c>
      <c r="H192" t="str">
        <f>companycode180&amp;""</f>
        <v/>
      </c>
      <c r="I192" t="str">
        <f>IF(accelikkatsu180="","希望しない",accelikkatsu180)</f>
        <v>希望しない</v>
      </c>
      <c r="J192" t="str">
        <f>IF(belugabunyn180="","なし",belugabunyn180)</f>
        <v>なし</v>
      </c>
      <c r="K192" t="str">
        <f>belugabun180&amp;""</f>
        <v/>
      </c>
      <c r="L192" t="b">
        <f>shutoku180</f>
        <v>0</v>
      </c>
    </row>
    <row r="193" spans="1:12">
      <c r="A193">
        <v>181</v>
      </c>
      <c r="B193" t="str">
        <f>IF(moushikubun181="","追加",moushikubun181)</f>
        <v>追加</v>
      </c>
      <c r="C193" t="str">
        <f>shubetsu181&amp;""</f>
        <v/>
      </c>
      <c r="D193" t="str">
        <f>billid181&amp;""</f>
        <v/>
      </c>
      <c r="E193" t="str">
        <f>UPPER(SUBSTITUTE(番明[[#This Row],[ご請求番号]],"-",""))</f>
        <v/>
      </c>
      <c r="F193" t="str">
        <f>keiyakuid181&amp;""</f>
        <v/>
      </c>
      <c r="G193">
        <f>IF(companyyn181="既存コードに追加",1,0)</f>
        <v>0</v>
      </c>
      <c r="H193" t="str">
        <f>companycode181&amp;""</f>
        <v/>
      </c>
      <c r="I193" t="str">
        <f>IF(accelikkatsu181="","希望しない",accelikkatsu181)</f>
        <v>希望しない</v>
      </c>
      <c r="J193" t="str">
        <f>IF(belugabunyn181="","なし",belugabunyn181)</f>
        <v>なし</v>
      </c>
      <c r="K193" t="str">
        <f>belugabun181&amp;""</f>
        <v/>
      </c>
      <c r="L193" t="b">
        <f>shutoku181</f>
        <v>0</v>
      </c>
    </row>
    <row r="194" spans="1:12">
      <c r="A194">
        <v>182</v>
      </c>
      <c r="B194" t="str">
        <f>IF(moushikubun182="","追加",moushikubun182)</f>
        <v>追加</v>
      </c>
      <c r="C194" t="str">
        <f>shubetsu182&amp;""</f>
        <v/>
      </c>
      <c r="D194" t="str">
        <f>billid182&amp;""</f>
        <v/>
      </c>
      <c r="E194" t="str">
        <f>UPPER(SUBSTITUTE(番明[[#This Row],[ご請求番号]],"-",""))</f>
        <v/>
      </c>
      <c r="F194" t="str">
        <f>keiyakuid182&amp;""</f>
        <v/>
      </c>
      <c r="G194">
        <f>IF(companyyn182="既存コードに追加",1,0)</f>
        <v>0</v>
      </c>
      <c r="H194" t="str">
        <f>companycode182&amp;""</f>
        <v/>
      </c>
      <c r="I194" t="str">
        <f>IF(accelikkatsu182="","希望しない",accelikkatsu182)</f>
        <v>希望しない</v>
      </c>
      <c r="J194" t="str">
        <f>IF(belugabunyn182="","なし",belugabunyn182)</f>
        <v>なし</v>
      </c>
      <c r="K194" t="str">
        <f>belugabun182&amp;""</f>
        <v/>
      </c>
      <c r="L194" t="b">
        <f>shutoku182</f>
        <v>0</v>
      </c>
    </row>
    <row r="195" spans="1:12">
      <c r="A195">
        <v>183</v>
      </c>
      <c r="B195" t="str">
        <f>IF(moushikubun183="","追加",moushikubun183)</f>
        <v>追加</v>
      </c>
      <c r="C195" t="str">
        <f>shubetsu183&amp;""</f>
        <v/>
      </c>
      <c r="D195" t="str">
        <f>billid183&amp;""</f>
        <v/>
      </c>
      <c r="E195" t="str">
        <f>UPPER(SUBSTITUTE(番明[[#This Row],[ご請求番号]],"-",""))</f>
        <v/>
      </c>
      <c r="F195" t="str">
        <f>keiyakuid183&amp;""</f>
        <v/>
      </c>
      <c r="G195">
        <f>IF(companyyn183="既存コードに追加",1,0)</f>
        <v>0</v>
      </c>
      <c r="H195" t="str">
        <f>companycode183&amp;""</f>
        <v/>
      </c>
      <c r="I195" t="str">
        <f>IF(accelikkatsu183="","希望しない",accelikkatsu183)</f>
        <v>希望しない</v>
      </c>
      <c r="J195" t="str">
        <f>IF(belugabunyn183="","なし",belugabunyn183)</f>
        <v>なし</v>
      </c>
      <c r="K195" t="str">
        <f>belugabun183&amp;""</f>
        <v/>
      </c>
      <c r="L195" t="b">
        <f>shutoku183</f>
        <v>0</v>
      </c>
    </row>
    <row r="196" spans="1:12">
      <c r="A196">
        <v>184</v>
      </c>
      <c r="B196" t="str">
        <f>IF(moushikubun184="","追加",moushikubun184)</f>
        <v>追加</v>
      </c>
      <c r="C196" t="str">
        <f>shubetsu184&amp;""</f>
        <v/>
      </c>
      <c r="D196" t="str">
        <f>billid184&amp;""</f>
        <v/>
      </c>
      <c r="E196" t="str">
        <f>UPPER(SUBSTITUTE(番明[[#This Row],[ご請求番号]],"-",""))</f>
        <v/>
      </c>
      <c r="F196" t="str">
        <f>keiyakuid184&amp;""</f>
        <v/>
      </c>
      <c r="G196">
        <f>IF(companyyn184="既存コードに追加",1,0)</f>
        <v>0</v>
      </c>
      <c r="H196" t="str">
        <f>companycode184&amp;""</f>
        <v/>
      </c>
      <c r="I196" t="str">
        <f>IF(accelikkatsu184="","希望しない",accelikkatsu184)</f>
        <v>希望しない</v>
      </c>
      <c r="J196" t="str">
        <f>IF(belugabunyn184="","なし",belugabunyn184)</f>
        <v>なし</v>
      </c>
      <c r="K196" t="str">
        <f>belugabun184&amp;""</f>
        <v/>
      </c>
      <c r="L196" t="b">
        <f>shutoku184</f>
        <v>0</v>
      </c>
    </row>
    <row r="197" spans="1:12">
      <c r="A197">
        <v>185</v>
      </c>
      <c r="B197" t="str">
        <f>IF(moushikubun185="","追加",moushikubun185)</f>
        <v>追加</v>
      </c>
      <c r="C197" t="str">
        <f>shubetsu185&amp;""</f>
        <v/>
      </c>
      <c r="D197" t="str">
        <f>billid185&amp;""</f>
        <v/>
      </c>
      <c r="E197" t="str">
        <f>UPPER(SUBSTITUTE(番明[[#This Row],[ご請求番号]],"-",""))</f>
        <v/>
      </c>
      <c r="F197" t="str">
        <f>keiyakuid185&amp;""</f>
        <v/>
      </c>
      <c r="G197">
        <f>IF(companyyn185="既存コードに追加",1,0)</f>
        <v>0</v>
      </c>
      <c r="H197" t="str">
        <f>companycode185&amp;""</f>
        <v/>
      </c>
      <c r="I197" t="str">
        <f>IF(accelikkatsu185="","希望しない",accelikkatsu185)</f>
        <v>希望しない</v>
      </c>
      <c r="J197" t="str">
        <f>IF(belugabunyn185="","なし",belugabunyn185)</f>
        <v>なし</v>
      </c>
      <c r="K197" t="str">
        <f>belugabun185&amp;""</f>
        <v/>
      </c>
      <c r="L197" t="b">
        <f>shutoku185</f>
        <v>0</v>
      </c>
    </row>
    <row r="198" spans="1:12">
      <c r="A198">
        <v>186</v>
      </c>
      <c r="B198" t="str">
        <f>IF(moushikubun186="","追加",moushikubun186)</f>
        <v>追加</v>
      </c>
      <c r="C198" t="str">
        <f>shubetsu186&amp;""</f>
        <v/>
      </c>
      <c r="D198" t="str">
        <f>billid186&amp;""</f>
        <v/>
      </c>
      <c r="E198" t="str">
        <f>UPPER(SUBSTITUTE(番明[[#This Row],[ご請求番号]],"-",""))</f>
        <v/>
      </c>
      <c r="F198" t="str">
        <f>keiyakuid186&amp;""</f>
        <v/>
      </c>
      <c r="G198">
        <f>IF(companyyn186="既存コードに追加",1,0)</f>
        <v>0</v>
      </c>
      <c r="H198" t="str">
        <f>companycode186&amp;""</f>
        <v/>
      </c>
      <c r="I198" t="str">
        <f>IF(accelikkatsu186="","希望しない",accelikkatsu186)</f>
        <v>希望しない</v>
      </c>
      <c r="J198" t="str">
        <f>IF(belugabunyn186="","なし",belugabunyn186)</f>
        <v>なし</v>
      </c>
      <c r="K198" t="str">
        <f>belugabun186&amp;""</f>
        <v/>
      </c>
      <c r="L198" t="b">
        <f>shutoku186</f>
        <v>0</v>
      </c>
    </row>
    <row r="199" spans="1:12">
      <c r="A199">
        <v>187</v>
      </c>
      <c r="B199" t="str">
        <f>IF(moushikubun187="","追加",moushikubun187)</f>
        <v>追加</v>
      </c>
      <c r="C199" t="str">
        <f>shubetsu187&amp;""</f>
        <v/>
      </c>
      <c r="D199" t="str">
        <f>billid187&amp;""</f>
        <v/>
      </c>
      <c r="E199" t="str">
        <f>UPPER(SUBSTITUTE(番明[[#This Row],[ご請求番号]],"-",""))</f>
        <v/>
      </c>
      <c r="F199" t="str">
        <f>keiyakuid187&amp;""</f>
        <v/>
      </c>
      <c r="G199">
        <f>IF(companyyn187="既存コードに追加",1,0)</f>
        <v>0</v>
      </c>
      <c r="H199" t="str">
        <f>companycode187&amp;""</f>
        <v/>
      </c>
      <c r="I199" t="str">
        <f>IF(accelikkatsu187="","希望しない",accelikkatsu187)</f>
        <v>希望しない</v>
      </c>
      <c r="J199" t="str">
        <f>IF(belugabunyn187="","なし",belugabunyn187)</f>
        <v>なし</v>
      </c>
      <c r="K199" t="str">
        <f>belugabun187&amp;""</f>
        <v/>
      </c>
      <c r="L199" t="b">
        <f>shutoku187</f>
        <v>0</v>
      </c>
    </row>
    <row r="200" spans="1:12">
      <c r="A200">
        <v>188</v>
      </c>
      <c r="B200" t="str">
        <f>IF(moushikubun188="","追加",moushikubun188)</f>
        <v>追加</v>
      </c>
      <c r="C200" t="str">
        <f>shubetsu188&amp;""</f>
        <v/>
      </c>
      <c r="D200" t="str">
        <f>billid188&amp;""</f>
        <v/>
      </c>
      <c r="E200" t="str">
        <f>UPPER(SUBSTITUTE(番明[[#This Row],[ご請求番号]],"-",""))</f>
        <v/>
      </c>
      <c r="F200" t="str">
        <f>keiyakuid188&amp;""</f>
        <v/>
      </c>
      <c r="G200">
        <f>IF(companyyn188="既存コードに追加",1,0)</f>
        <v>0</v>
      </c>
      <c r="H200" t="str">
        <f>companycode188&amp;""</f>
        <v/>
      </c>
      <c r="I200" t="str">
        <f>IF(accelikkatsu188="","希望しない",accelikkatsu188)</f>
        <v>希望しない</v>
      </c>
      <c r="J200" t="str">
        <f>IF(belugabunyn188="","なし",belugabunyn188)</f>
        <v>なし</v>
      </c>
      <c r="K200" t="str">
        <f>belugabun188&amp;""</f>
        <v/>
      </c>
      <c r="L200" t="b">
        <f>shutoku188</f>
        <v>0</v>
      </c>
    </row>
    <row r="201" spans="1:12">
      <c r="A201">
        <v>189</v>
      </c>
      <c r="B201" t="str">
        <f>IF(moushikubun189="","追加",moushikubun189)</f>
        <v>追加</v>
      </c>
      <c r="C201" t="str">
        <f>shubetsu189&amp;""</f>
        <v/>
      </c>
      <c r="D201" t="str">
        <f>billid189&amp;""</f>
        <v/>
      </c>
      <c r="E201" t="str">
        <f>UPPER(SUBSTITUTE(番明[[#This Row],[ご請求番号]],"-",""))</f>
        <v/>
      </c>
      <c r="F201" t="str">
        <f>keiyakuid189&amp;""</f>
        <v/>
      </c>
      <c r="G201">
        <f>IF(companyyn189="既存コードに追加",1,0)</f>
        <v>0</v>
      </c>
      <c r="H201" t="str">
        <f>companycode189&amp;""</f>
        <v/>
      </c>
      <c r="I201" t="str">
        <f>IF(accelikkatsu189="","希望しない",accelikkatsu189)</f>
        <v>希望しない</v>
      </c>
      <c r="J201" t="str">
        <f>IF(belugabunyn189="","なし",belugabunyn189)</f>
        <v>なし</v>
      </c>
      <c r="K201" t="str">
        <f>belugabun189&amp;""</f>
        <v/>
      </c>
      <c r="L201" t="b">
        <f>shutoku189</f>
        <v>0</v>
      </c>
    </row>
    <row r="202" spans="1:12">
      <c r="A202">
        <v>190</v>
      </c>
      <c r="B202" t="str">
        <f>IF(moushikubun190="","追加",moushikubun190)</f>
        <v>追加</v>
      </c>
      <c r="C202" t="str">
        <f>shubetsu190&amp;""</f>
        <v/>
      </c>
      <c r="D202" t="str">
        <f>billid190&amp;""</f>
        <v/>
      </c>
      <c r="E202" t="str">
        <f>UPPER(SUBSTITUTE(番明[[#This Row],[ご請求番号]],"-",""))</f>
        <v/>
      </c>
      <c r="F202" t="str">
        <f>keiyakuid190&amp;""</f>
        <v/>
      </c>
      <c r="G202">
        <f>IF(companyyn190="既存コードに追加",1,0)</f>
        <v>0</v>
      </c>
      <c r="H202" t="str">
        <f>companycode190&amp;""</f>
        <v/>
      </c>
      <c r="I202" t="str">
        <f>IF(accelikkatsu190="","希望しない",accelikkatsu190)</f>
        <v>希望しない</v>
      </c>
      <c r="J202" t="str">
        <f>IF(belugabunyn190="","なし",belugabunyn190)</f>
        <v>なし</v>
      </c>
      <c r="K202" t="str">
        <f>belugabun190&amp;""</f>
        <v/>
      </c>
      <c r="L202" t="b">
        <f>shutoku190</f>
        <v>0</v>
      </c>
    </row>
    <row r="203" spans="1:12">
      <c r="A203">
        <v>191</v>
      </c>
      <c r="B203" t="str">
        <f>IF(moushikubun191="","追加",moushikubun191)</f>
        <v>追加</v>
      </c>
      <c r="C203" t="str">
        <f>shubetsu191&amp;""</f>
        <v/>
      </c>
      <c r="D203" t="str">
        <f>billid191&amp;""</f>
        <v/>
      </c>
      <c r="E203" t="str">
        <f>UPPER(SUBSTITUTE(番明[[#This Row],[ご請求番号]],"-",""))</f>
        <v/>
      </c>
      <c r="F203" t="str">
        <f>keiyakuid191&amp;""</f>
        <v/>
      </c>
      <c r="G203">
        <f>IF(companyyn191="既存コードに追加",1,0)</f>
        <v>0</v>
      </c>
      <c r="H203" t="str">
        <f>companycode191&amp;""</f>
        <v/>
      </c>
      <c r="I203" t="str">
        <f>IF(accelikkatsu191="","希望しない",accelikkatsu191)</f>
        <v>希望しない</v>
      </c>
      <c r="J203" t="str">
        <f>IF(belugabunyn191="","なし",belugabunyn191)</f>
        <v>なし</v>
      </c>
      <c r="K203" t="str">
        <f>belugabun191&amp;""</f>
        <v/>
      </c>
      <c r="L203" t="b">
        <f>shutoku191</f>
        <v>0</v>
      </c>
    </row>
    <row r="204" spans="1:12">
      <c r="A204">
        <v>192</v>
      </c>
      <c r="B204" t="str">
        <f>IF(moushikubun192="","追加",moushikubun192)</f>
        <v>追加</v>
      </c>
      <c r="C204" t="str">
        <f>shubetsu192&amp;""</f>
        <v/>
      </c>
      <c r="D204" t="str">
        <f>billid192&amp;""</f>
        <v/>
      </c>
      <c r="E204" t="str">
        <f>UPPER(SUBSTITUTE(番明[[#This Row],[ご請求番号]],"-",""))</f>
        <v/>
      </c>
      <c r="F204" t="str">
        <f>keiyakuid192&amp;""</f>
        <v/>
      </c>
      <c r="G204">
        <f>IF(companyyn192="既存コードに追加",1,0)</f>
        <v>0</v>
      </c>
      <c r="H204" t="str">
        <f>companycode192&amp;""</f>
        <v/>
      </c>
      <c r="I204" t="str">
        <f>IF(accelikkatsu192="","希望しない",accelikkatsu192)</f>
        <v>希望しない</v>
      </c>
      <c r="J204" t="str">
        <f>IF(belugabunyn192="","なし",belugabunyn192)</f>
        <v>なし</v>
      </c>
      <c r="K204" t="str">
        <f>belugabun192&amp;""</f>
        <v/>
      </c>
      <c r="L204" t="b">
        <f>shutoku192</f>
        <v>0</v>
      </c>
    </row>
    <row r="205" spans="1:12">
      <c r="A205">
        <v>193</v>
      </c>
      <c r="B205" t="str">
        <f>IF(moushikubun193="","追加",moushikubun193)</f>
        <v>追加</v>
      </c>
      <c r="C205" t="str">
        <f>shubetsu193&amp;""</f>
        <v/>
      </c>
      <c r="D205" t="str">
        <f>billid193&amp;""</f>
        <v/>
      </c>
      <c r="E205" t="str">
        <f>UPPER(SUBSTITUTE(番明[[#This Row],[ご請求番号]],"-",""))</f>
        <v/>
      </c>
      <c r="F205" t="str">
        <f>keiyakuid193&amp;""</f>
        <v/>
      </c>
      <c r="G205">
        <f>IF(companyyn193="既存コードに追加",1,0)</f>
        <v>0</v>
      </c>
      <c r="H205" t="str">
        <f>companycode193&amp;""</f>
        <v/>
      </c>
      <c r="I205" t="str">
        <f>IF(accelikkatsu193="","希望しない",accelikkatsu193)</f>
        <v>希望しない</v>
      </c>
      <c r="J205" t="str">
        <f>IF(belugabunyn193="","なし",belugabunyn193)</f>
        <v>なし</v>
      </c>
      <c r="K205" t="str">
        <f>belugabun193&amp;""</f>
        <v/>
      </c>
      <c r="L205" t="b">
        <f>shutoku193</f>
        <v>0</v>
      </c>
    </row>
    <row r="206" spans="1:12">
      <c r="A206">
        <v>194</v>
      </c>
      <c r="B206" t="str">
        <f>IF(moushikubun194="","追加",moushikubun194)</f>
        <v>追加</v>
      </c>
      <c r="C206" t="str">
        <f>shubetsu194&amp;""</f>
        <v/>
      </c>
      <c r="D206" t="str">
        <f>billid194&amp;""</f>
        <v/>
      </c>
      <c r="E206" t="str">
        <f>UPPER(SUBSTITUTE(番明[[#This Row],[ご請求番号]],"-",""))</f>
        <v/>
      </c>
      <c r="F206" t="str">
        <f>keiyakuid194&amp;""</f>
        <v/>
      </c>
      <c r="G206">
        <f>IF(companyyn194="既存コードに追加",1,0)</f>
        <v>0</v>
      </c>
      <c r="H206" t="str">
        <f>companycode194&amp;""</f>
        <v/>
      </c>
      <c r="I206" t="str">
        <f>IF(accelikkatsu194="","希望しない",accelikkatsu194)</f>
        <v>希望しない</v>
      </c>
      <c r="J206" t="str">
        <f>IF(belugabunyn194="","なし",belugabunyn194)</f>
        <v>なし</v>
      </c>
      <c r="K206" t="str">
        <f>belugabun194&amp;""</f>
        <v/>
      </c>
      <c r="L206" t="b">
        <f>shutoku194</f>
        <v>0</v>
      </c>
    </row>
    <row r="207" spans="1:12">
      <c r="A207">
        <v>195</v>
      </c>
      <c r="B207" t="str">
        <f>IF(moushikubun195="","追加",moushikubun195)</f>
        <v>追加</v>
      </c>
      <c r="C207" t="str">
        <f>shubetsu195&amp;""</f>
        <v/>
      </c>
      <c r="D207" t="str">
        <f>billid195&amp;""</f>
        <v/>
      </c>
      <c r="E207" t="str">
        <f>UPPER(SUBSTITUTE(番明[[#This Row],[ご請求番号]],"-",""))</f>
        <v/>
      </c>
      <c r="F207" t="str">
        <f>keiyakuid195&amp;""</f>
        <v/>
      </c>
      <c r="G207">
        <f>IF(companyyn195="既存コードに追加",1,0)</f>
        <v>0</v>
      </c>
      <c r="H207" t="str">
        <f>companycode195&amp;""</f>
        <v/>
      </c>
      <c r="I207" t="str">
        <f>IF(accelikkatsu195="","希望しない",accelikkatsu195)</f>
        <v>希望しない</v>
      </c>
      <c r="J207" t="str">
        <f>IF(belugabunyn195="","なし",belugabunyn195)</f>
        <v>なし</v>
      </c>
      <c r="K207" t="str">
        <f>belugabun195&amp;""</f>
        <v/>
      </c>
      <c r="L207" t="b">
        <f>shutoku195</f>
        <v>0</v>
      </c>
    </row>
    <row r="208" spans="1:12">
      <c r="A208">
        <v>196</v>
      </c>
      <c r="B208" t="str">
        <f>IF(moushikubun196="","追加",moushikubun196)</f>
        <v>追加</v>
      </c>
      <c r="C208" t="str">
        <f>shubetsu196&amp;""</f>
        <v/>
      </c>
      <c r="D208" t="str">
        <f>billid196&amp;""</f>
        <v/>
      </c>
      <c r="E208" t="str">
        <f>UPPER(SUBSTITUTE(番明[[#This Row],[ご請求番号]],"-",""))</f>
        <v/>
      </c>
      <c r="F208" t="str">
        <f>keiyakuid196&amp;""</f>
        <v/>
      </c>
      <c r="G208">
        <f>IF(companyyn196="既存コードに追加",1,0)</f>
        <v>0</v>
      </c>
      <c r="H208" t="str">
        <f>companycode196&amp;""</f>
        <v/>
      </c>
      <c r="I208" t="str">
        <f>IF(accelikkatsu196="","希望しない",accelikkatsu196)</f>
        <v>希望しない</v>
      </c>
      <c r="J208" t="str">
        <f>IF(belugabunyn196="","なし",belugabunyn196)</f>
        <v>なし</v>
      </c>
      <c r="K208" t="str">
        <f>belugabun196&amp;""</f>
        <v/>
      </c>
      <c r="L208" t="b">
        <f>shutoku196</f>
        <v>0</v>
      </c>
    </row>
    <row r="209" spans="1:12">
      <c r="A209">
        <v>197</v>
      </c>
      <c r="B209" t="str">
        <f>IF(moushikubun197="","追加",moushikubun197)</f>
        <v>追加</v>
      </c>
      <c r="C209" t="str">
        <f>shubetsu197&amp;""</f>
        <v/>
      </c>
      <c r="D209" t="str">
        <f>billid197&amp;""</f>
        <v/>
      </c>
      <c r="E209" t="str">
        <f>UPPER(SUBSTITUTE(番明[[#This Row],[ご請求番号]],"-",""))</f>
        <v/>
      </c>
      <c r="F209" t="str">
        <f>keiyakuid197&amp;""</f>
        <v/>
      </c>
      <c r="G209">
        <f>IF(companyyn197="既存コードに追加",1,0)</f>
        <v>0</v>
      </c>
      <c r="H209" t="str">
        <f>companycode197&amp;""</f>
        <v/>
      </c>
      <c r="I209" t="str">
        <f>IF(accelikkatsu197="","希望しない",accelikkatsu197)</f>
        <v>希望しない</v>
      </c>
      <c r="J209" t="str">
        <f>IF(belugabunyn197="","なし",belugabunyn197)</f>
        <v>なし</v>
      </c>
      <c r="K209" t="str">
        <f>belugabun197&amp;""</f>
        <v/>
      </c>
      <c r="L209" t="b">
        <f>shutoku197</f>
        <v>0</v>
      </c>
    </row>
    <row r="210" spans="1:12">
      <c r="A210">
        <v>198</v>
      </c>
      <c r="B210" t="str">
        <f>IF(moushikubun198="","追加",moushikubun198)</f>
        <v>追加</v>
      </c>
      <c r="C210" t="str">
        <f>shubetsu198&amp;""</f>
        <v/>
      </c>
      <c r="D210" t="str">
        <f>billid198&amp;""</f>
        <v/>
      </c>
      <c r="E210" t="str">
        <f>UPPER(SUBSTITUTE(番明[[#This Row],[ご請求番号]],"-",""))</f>
        <v/>
      </c>
      <c r="F210" t="str">
        <f>keiyakuid198&amp;""</f>
        <v/>
      </c>
      <c r="G210">
        <f>IF(companyyn198="既存コードに追加",1,0)</f>
        <v>0</v>
      </c>
      <c r="H210" t="str">
        <f>companycode198&amp;""</f>
        <v/>
      </c>
      <c r="I210" t="str">
        <f>IF(accelikkatsu198="","希望しない",accelikkatsu198)</f>
        <v>希望しない</v>
      </c>
      <c r="J210" t="str">
        <f>IF(belugabunyn198="","なし",belugabunyn198)</f>
        <v>なし</v>
      </c>
      <c r="K210" t="str">
        <f>belugabun198&amp;""</f>
        <v/>
      </c>
      <c r="L210" t="b">
        <f>shutoku198</f>
        <v>0</v>
      </c>
    </row>
    <row r="211" spans="1:12">
      <c r="A211">
        <v>199</v>
      </c>
      <c r="B211" t="str">
        <f>IF(moushikubun199="","追加",moushikubun199)</f>
        <v>追加</v>
      </c>
      <c r="C211" t="str">
        <f>shubetsu199&amp;""</f>
        <v/>
      </c>
      <c r="D211" t="str">
        <f>billid199&amp;""</f>
        <v/>
      </c>
      <c r="E211" t="str">
        <f>UPPER(SUBSTITUTE(番明[[#This Row],[ご請求番号]],"-",""))</f>
        <v/>
      </c>
      <c r="F211" t="str">
        <f>keiyakuid199&amp;""</f>
        <v/>
      </c>
      <c r="G211">
        <f>IF(companyyn199="既存コードに追加",1,0)</f>
        <v>0</v>
      </c>
      <c r="H211" t="str">
        <f>companycode199&amp;""</f>
        <v/>
      </c>
      <c r="I211" t="str">
        <f>IF(accelikkatsu199="","希望しない",accelikkatsu199)</f>
        <v>希望しない</v>
      </c>
      <c r="J211" t="str">
        <f>IF(belugabunyn199="","なし",belugabunyn199)</f>
        <v>なし</v>
      </c>
      <c r="K211" t="str">
        <f>belugabun199&amp;""</f>
        <v/>
      </c>
      <c r="L211" t="b">
        <f>shutoku199</f>
        <v>0</v>
      </c>
    </row>
    <row r="212" spans="1:12">
      <c r="A212">
        <v>200</v>
      </c>
      <c r="B212" t="str">
        <f>IF(moushikubun200="","追加",moushikubun200)</f>
        <v>追加</v>
      </c>
      <c r="C212" t="str">
        <f>shubetsu200&amp;""</f>
        <v/>
      </c>
      <c r="D212" t="str">
        <f>billid200&amp;""</f>
        <v/>
      </c>
      <c r="E212" t="str">
        <f>UPPER(SUBSTITUTE(番明[[#This Row],[ご請求番号]],"-",""))</f>
        <v/>
      </c>
      <c r="F212" t="str">
        <f>keiyakuid200&amp;""</f>
        <v/>
      </c>
      <c r="G212">
        <f>IF(companyyn200="既存コードに追加",1,0)</f>
        <v>0</v>
      </c>
      <c r="H212" t="str">
        <f>companycode200&amp;""</f>
        <v/>
      </c>
      <c r="I212" t="str">
        <f>IF(accelikkatsu200="","希望しない",accelikkatsu200)</f>
        <v>希望しない</v>
      </c>
      <c r="J212" t="str">
        <f>IF(belugabunyn200="","なし",belugabunyn200)</f>
        <v>なし</v>
      </c>
      <c r="K212" t="str">
        <f>belugabun200&amp;""</f>
        <v/>
      </c>
      <c r="L212" t="b">
        <f>shutoku200</f>
        <v>0</v>
      </c>
    </row>
    <row r="213" spans="1:12">
      <c r="A213">
        <v>201</v>
      </c>
      <c r="B213" t="str">
        <f>IF(moushikubun201="","追加",moushikubun201)</f>
        <v>追加</v>
      </c>
      <c r="C213" t="str">
        <f>shubetsu201&amp;""</f>
        <v/>
      </c>
      <c r="D213" t="str">
        <f>billid201&amp;""</f>
        <v/>
      </c>
      <c r="E213" t="str">
        <f>UPPER(SUBSTITUTE(番明[[#This Row],[ご請求番号]],"-",""))</f>
        <v/>
      </c>
      <c r="F213" t="str">
        <f>keiyakuid201&amp;""</f>
        <v/>
      </c>
      <c r="G213">
        <f>IF(companyyn201="既存コードに追加",1,0)</f>
        <v>0</v>
      </c>
      <c r="H213" t="str">
        <f>companycode201&amp;""</f>
        <v/>
      </c>
      <c r="I213" t="str">
        <f>IF(accelikkatsu201="","希望しない",accelikkatsu201)</f>
        <v>希望しない</v>
      </c>
      <c r="J213" t="str">
        <f>IF(belugabunyn201="","なし",belugabunyn201)</f>
        <v>なし</v>
      </c>
      <c r="K213" t="str">
        <f>belugabun201&amp;""</f>
        <v/>
      </c>
      <c r="L213" t="b">
        <f>shutoku201</f>
        <v>0</v>
      </c>
    </row>
    <row r="214" spans="1:12">
      <c r="A214">
        <v>202</v>
      </c>
      <c r="B214" t="str">
        <f>IF(moushikubun202="","追加",moushikubun202)</f>
        <v>追加</v>
      </c>
      <c r="C214" t="str">
        <f>shubetsu202&amp;""</f>
        <v/>
      </c>
      <c r="D214" t="str">
        <f>billid202&amp;""</f>
        <v/>
      </c>
      <c r="E214" t="str">
        <f>UPPER(SUBSTITUTE(番明[[#This Row],[ご請求番号]],"-",""))</f>
        <v/>
      </c>
      <c r="F214" t="str">
        <f>keiyakuid202&amp;""</f>
        <v/>
      </c>
      <c r="G214">
        <f>IF(companyyn202="既存コードに追加",1,0)</f>
        <v>0</v>
      </c>
      <c r="H214" t="str">
        <f>companycode202&amp;""</f>
        <v/>
      </c>
      <c r="I214" t="str">
        <f>IF(accelikkatsu202="","希望しない",accelikkatsu202)</f>
        <v>希望しない</v>
      </c>
      <c r="J214" t="str">
        <f>IF(belugabunyn202="","なし",belugabunyn202)</f>
        <v>なし</v>
      </c>
      <c r="K214" t="str">
        <f>belugabun202&amp;""</f>
        <v/>
      </c>
      <c r="L214" t="b">
        <f>shutoku202</f>
        <v>0</v>
      </c>
    </row>
    <row r="215" spans="1:12">
      <c r="A215">
        <v>203</v>
      </c>
      <c r="B215" t="str">
        <f>IF(moushikubun203="","追加",moushikubun203)</f>
        <v>追加</v>
      </c>
      <c r="C215" t="str">
        <f>shubetsu203&amp;""</f>
        <v/>
      </c>
      <c r="D215" t="str">
        <f>billid203&amp;""</f>
        <v/>
      </c>
      <c r="E215" t="str">
        <f>UPPER(SUBSTITUTE(番明[[#This Row],[ご請求番号]],"-",""))</f>
        <v/>
      </c>
      <c r="F215" t="str">
        <f>keiyakuid203&amp;""</f>
        <v/>
      </c>
      <c r="G215">
        <f>IF(companyyn203="既存コードに追加",1,0)</f>
        <v>0</v>
      </c>
      <c r="H215" t="str">
        <f>companycode203&amp;""</f>
        <v/>
      </c>
      <c r="I215" t="str">
        <f>IF(accelikkatsu203="","希望しない",accelikkatsu203)</f>
        <v>希望しない</v>
      </c>
      <c r="J215" t="str">
        <f>IF(belugabunyn203="","なし",belugabunyn203)</f>
        <v>なし</v>
      </c>
      <c r="K215" t="str">
        <f>belugabun203&amp;""</f>
        <v/>
      </c>
      <c r="L215" t="b">
        <f>shutoku203</f>
        <v>0</v>
      </c>
    </row>
    <row r="216" spans="1:12">
      <c r="A216">
        <v>204</v>
      </c>
      <c r="B216" t="str">
        <f>IF(moushikubun204="","追加",moushikubun204)</f>
        <v>追加</v>
      </c>
      <c r="C216" t="str">
        <f>shubetsu204&amp;""</f>
        <v/>
      </c>
      <c r="D216" t="str">
        <f>billid204&amp;""</f>
        <v/>
      </c>
      <c r="E216" t="str">
        <f>UPPER(SUBSTITUTE(番明[[#This Row],[ご請求番号]],"-",""))</f>
        <v/>
      </c>
      <c r="F216" t="str">
        <f>keiyakuid204&amp;""</f>
        <v/>
      </c>
      <c r="G216">
        <f>IF(companyyn204="既存コードに追加",1,0)</f>
        <v>0</v>
      </c>
      <c r="H216" t="str">
        <f>companycode204&amp;""</f>
        <v/>
      </c>
      <c r="I216" t="str">
        <f>IF(accelikkatsu204="","希望しない",accelikkatsu204)</f>
        <v>希望しない</v>
      </c>
      <c r="J216" t="str">
        <f>IF(belugabunyn204="","なし",belugabunyn204)</f>
        <v>なし</v>
      </c>
      <c r="K216" t="str">
        <f>belugabun204&amp;""</f>
        <v/>
      </c>
      <c r="L216" t="b">
        <f>shutoku204</f>
        <v>0</v>
      </c>
    </row>
    <row r="217" spans="1:12">
      <c r="A217">
        <v>205</v>
      </c>
      <c r="B217" t="str">
        <f>IF(moushikubun205="","追加",moushikubun205)</f>
        <v>追加</v>
      </c>
      <c r="C217" t="str">
        <f>shubetsu205&amp;""</f>
        <v/>
      </c>
      <c r="D217" t="str">
        <f>billid205&amp;""</f>
        <v/>
      </c>
      <c r="E217" t="str">
        <f>UPPER(SUBSTITUTE(番明[[#This Row],[ご請求番号]],"-",""))</f>
        <v/>
      </c>
      <c r="F217" t="str">
        <f>keiyakuid205&amp;""</f>
        <v/>
      </c>
      <c r="G217">
        <f>IF(companyyn205="既存コードに追加",1,0)</f>
        <v>0</v>
      </c>
      <c r="H217" t="str">
        <f>companycode205&amp;""</f>
        <v/>
      </c>
      <c r="I217" t="str">
        <f>IF(accelikkatsu205="","希望しない",accelikkatsu205)</f>
        <v>希望しない</v>
      </c>
      <c r="J217" t="str">
        <f>IF(belugabunyn205="","なし",belugabunyn205)</f>
        <v>なし</v>
      </c>
      <c r="K217" t="str">
        <f>belugabun205&amp;""</f>
        <v/>
      </c>
      <c r="L217" t="b">
        <f>shutoku205</f>
        <v>0</v>
      </c>
    </row>
    <row r="218" spans="1:12">
      <c r="A218">
        <v>206</v>
      </c>
      <c r="B218" t="str">
        <f>IF(moushikubun206="","追加",moushikubun206)</f>
        <v>追加</v>
      </c>
      <c r="C218" t="str">
        <f>shubetsu206&amp;""</f>
        <v/>
      </c>
      <c r="D218" t="str">
        <f>billid206&amp;""</f>
        <v/>
      </c>
      <c r="E218" t="str">
        <f>UPPER(SUBSTITUTE(番明[[#This Row],[ご請求番号]],"-",""))</f>
        <v/>
      </c>
      <c r="F218" t="str">
        <f>keiyakuid206&amp;""</f>
        <v/>
      </c>
      <c r="G218">
        <f>IF(companyyn206="既存コードに追加",1,0)</f>
        <v>0</v>
      </c>
      <c r="H218" t="str">
        <f>companycode206&amp;""</f>
        <v/>
      </c>
      <c r="I218" t="str">
        <f>IF(accelikkatsu206="","希望しない",accelikkatsu206)</f>
        <v>希望しない</v>
      </c>
      <c r="J218" t="str">
        <f>IF(belugabunyn206="","なし",belugabunyn206)</f>
        <v>なし</v>
      </c>
      <c r="K218" t="str">
        <f>belugabun206&amp;""</f>
        <v/>
      </c>
      <c r="L218" t="b">
        <f>shutoku206</f>
        <v>0</v>
      </c>
    </row>
    <row r="219" spans="1:12">
      <c r="A219">
        <v>207</v>
      </c>
      <c r="B219" t="str">
        <f>IF(moushikubun207="","追加",moushikubun207)</f>
        <v>追加</v>
      </c>
      <c r="C219" t="str">
        <f>shubetsu207&amp;""</f>
        <v/>
      </c>
      <c r="D219" t="str">
        <f>billid207&amp;""</f>
        <v/>
      </c>
      <c r="E219" t="str">
        <f>UPPER(SUBSTITUTE(番明[[#This Row],[ご請求番号]],"-",""))</f>
        <v/>
      </c>
      <c r="F219" t="str">
        <f>keiyakuid207&amp;""</f>
        <v/>
      </c>
      <c r="G219">
        <f>IF(companyyn207="既存コードに追加",1,0)</f>
        <v>0</v>
      </c>
      <c r="H219" t="str">
        <f>companycode207&amp;""</f>
        <v/>
      </c>
      <c r="I219" t="str">
        <f>IF(accelikkatsu207="","希望しない",accelikkatsu207)</f>
        <v>希望しない</v>
      </c>
      <c r="J219" t="str">
        <f>IF(belugabunyn207="","なし",belugabunyn207)</f>
        <v>なし</v>
      </c>
      <c r="K219" t="str">
        <f>belugabun207&amp;""</f>
        <v/>
      </c>
      <c r="L219" t="b">
        <f>shutoku207</f>
        <v>0</v>
      </c>
    </row>
    <row r="220" spans="1:12">
      <c r="A220">
        <v>208</v>
      </c>
      <c r="B220" t="str">
        <f>IF(moushikubun208="","追加",moushikubun208)</f>
        <v>追加</v>
      </c>
      <c r="C220" t="str">
        <f>shubetsu208&amp;""</f>
        <v/>
      </c>
      <c r="D220" t="str">
        <f>billid208&amp;""</f>
        <v/>
      </c>
      <c r="E220" t="str">
        <f>UPPER(SUBSTITUTE(番明[[#This Row],[ご請求番号]],"-",""))</f>
        <v/>
      </c>
      <c r="F220" t="str">
        <f>keiyakuid208&amp;""</f>
        <v/>
      </c>
      <c r="G220">
        <f>IF(companyyn208="既存コードに追加",1,0)</f>
        <v>0</v>
      </c>
      <c r="H220" t="str">
        <f>companycode208&amp;""</f>
        <v/>
      </c>
      <c r="I220" t="str">
        <f>IF(accelikkatsu208="","希望しない",accelikkatsu208)</f>
        <v>希望しない</v>
      </c>
      <c r="J220" t="str">
        <f>IF(belugabunyn208="","なし",belugabunyn208)</f>
        <v>なし</v>
      </c>
      <c r="K220" t="str">
        <f>belugabun208&amp;""</f>
        <v/>
      </c>
      <c r="L220" t="b">
        <f>shutoku208</f>
        <v>0</v>
      </c>
    </row>
    <row r="221" spans="1:12">
      <c r="A221">
        <v>209</v>
      </c>
      <c r="B221" t="str">
        <f>IF(moushikubun209="","追加",moushikubun209)</f>
        <v>追加</v>
      </c>
      <c r="C221" t="str">
        <f>shubetsu209&amp;""</f>
        <v/>
      </c>
      <c r="D221" t="str">
        <f>billid209&amp;""</f>
        <v/>
      </c>
      <c r="E221" t="str">
        <f>UPPER(SUBSTITUTE(番明[[#This Row],[ご請求番号]],"-",""))</f>
        <v/>
      </c>
      <c r="F221" t="str">
        <f>keiyakuid209&amp;""</f>
        <v/>
      </c>
      <c r="G221">
        <f>IF(companyyn209="既存コードに追加",1,0)</f>
        <v>0</v>
      </c>
      <c r="H221" t="str">
        <f>companycode209&amp;""</f>
        <v/>
      </c>
      <c r="I221" t="str">
        <f>IF(accelikkatsu209="","希望しない",accelikkatsu209)</f>
        <v>希望しない</v>
      </c>
      <c r="J221" t="str">
        <f>IF(belugabunyn209="","なし",belugabunyn209)</f>
        <v>なし</v>
      </c>
      <c r="K221" t="str">
        <f>belugabun209&amp;""</f>
        <v/>
      </c>
      <c r="L221" t="b">
        <f>shutoku209</f>
        <v>0</v>
      </c>
    </row>
    <row r="222" spans="1:12">
      <c r="A222">
        <v>210</v>
      </c>
      <c r="B222" t="str">
        <f>IF(moushikubun210="","追加",moushikubun210)</f>
        <v>追加</v>
      </c>
      <c r="C222" t="str">
        <f>shubetsu210&amp;""</f>
        <v/>
      </c>
      <c r="D222" t="str">
        <f>billid210&amp;""</f>
        <v/>
      </c>
      <c r="E222" t="str">
        <f>UPPER(SUBSTITUTE(番明[[#This Row],[ご請求番号]],"-",""))</f>
        <v/>
      </c>
      <c r="F222" t="str">
        <f>keiyakuid210&amp;""</f>
        <v/>
      </c>
      <c r="G222">
        <f>IF(companyyn210="既存コードに追加",1,0)</f>
        <v>0</v>
      </c>
      <c r="H222" t="str">
        <f>companycode210&amp;""</f>
        <v/>
      </c>
      <c r="I222" t="str">
        <f>IF(accelikkatsu210="","希望しない",accelikkatsu210)</f>
        <v>希望しない</v>
      </c>
      <c r="J222" t="str">
        <f>IF(belugabunyn210="","なし",belugabunyn210)</f>
        <v>なし</v>
      </c>
      <c r="K222" t="str">
        <f>belugabun210&amp;""</f>
        <v/>
      </c>
      <c r="L222" t="b">
        <f>shutoku210</f>
        <v>0</v>
      </c>
    </row>
    <row r="223" spans="1:12">
      <c r="A223">
        <v>211</v>
      </c>
      <c r="B223" t="str">
        <f>IF(moushikubun211="","追加",moushikubun211)</f>
        <v>追加</v>
      </c>
      <c r="C223" t="str">
        <f>shubetsu211&amp;""</f>
        <v/>
      </c>
      <c r="D223" t="str">
        <f>billid211&amp;""</f>
        <v/>
      </c>
      <c r="E223" t="str">
        <f>UPPER(SUBSTITUTE(番明[[#This Row],[ご請求番号]],"-",""))</f>
        <v/>
      </c>
      <c r="F223" t="str">
        <f>keiyakuid211&amp;""</f>
        <v/>
      </c>
      <c r="G223">
        <f>IF(companyyn211="既存コードに追加",1,0)</f>
        <v>0</v>
      </c>
      <c r="H223" t="str">
        <f>companycode211&amp;""</f>
        <v/>
      </c>
      <c r="I223" t="str">
        <f>IF(accelikkatsu211="","希望しない",accelikkatsu211)</f>
        <v>希望しない</v>
      </c>
      <c r="J223" t="str">
        <f>IF(belugabunyn211="","なし",belugabunyn211)</f>
        <v>なし</v>
      </c>
      <c r="K223" t="str">
        <f>belugabun211&amp;""</f>
        <v/>
      </c>
      <c r="L223" t="b">
        <f>shutoku211</f>
        <v>0</v>
      </c>
    </row>
    <row r="224" spans="1:12">
      <c r="A224">
        <v>212</v>
      </c>
      <c r="B224" t="str">
        <f>IF(moushikubun212="","追加",moushikubun212)</f>
        <v>追加</v>
      </c>
      <c r="C224" t="str">
        <f>shubetsu212&amp;""</f>
        <v/>
      </c>
      <c r="D224" t="str">
        <f>billid212&amp;""</f>
        <v/>
      </c>
      <c r="E224" t="str">
        <f>UPPER(SUBSTITUTE(番明[[#This Row],[ご請求番号]],"-",""))</f>
        <v/>
      </c>
      <c r="F224" t="str">
        <f>keiyakuid212&amp;""</f>
        <v/>
      </c>
      <c r="G224">
        <f>IF(companyyn212="既存コードに追加",1,0)</f>
        <v>0</v>
      </c>
      <c r="H224" t="str">
        <f>companycode212&amp;""</f>
        <v/>
      </c>
      <c r="I224" t="str">
        <f>IF(accelikkatsu212="","希望しない",accelikkatsu212)</f>
        <v>希望しない</v>
      </c>
      <c r="J224" t="str">
        <f>IF(belugabunyn212="","なし",belugabunyn212)</f>
        <v>なし</v>
      </c>
      <c r="K224" t="str">
        <f>belugabun212&amp;""</f>
        <v/>
      </c>
      <c r="L224" t="b">
        <f>shutoku212</f>
        <v>0</v>
      </c>
    </row>
    <row r="225" spans="1:12">
      <c r="A225">
        <v>213</v>
      </c>
      <c r="B225" t="str">
        <f>IF(moushikubun213="","追加",moushikubun213)</f>
        <v>追加</v>
      </c>
      <c r="C225" t="str">
        <f>shubetsu213&amp;""</f>
        <v/>
      </c>
      <c r="D225" t="str">
        <f>billid213&amp;""</f>
        <v/>
      </c>
      <c r="E225" t="str">
        <f>UPPER(SUBSTITUTE(番明[[#This Row],[ご請求番号]],"-",""))</f>
        <v/>
      </c>
      <c r="F225" t="str">
        <f>keiyakuid213&amp;""</f>
        <v/>
      </c>
      <c r="G225">
        <f>IF(companyyn213="既存コードに追加",1,0)</f>
        <v>0</v>
      </c>
      <c r="H225" t="str">
        <f>companycode213&amp;""</f>
        <v/>
      </c>
      <c r="I225" t="str">
        <f>IF(accelikkatsu213="","希望しない",accelikkatsu213)</f>
        <v>希望しない</v>
      </c>
      <c r="J225" t="str">
        <f>IF(belugabunyn213="","なし",belugabunyn213)</f>
        <v>なし</v>
      </c>
      <c r="K225" t="str">
        <f>belugabun213&amp;""</f>
        <v/>
      </c>
      <c r="L225" t="b">
        <f>shutoku213</f>
        <v>0</v>
      </c>
    </row>
    <row r="226" spans="1:12">
      <c r="A226">
        <v>214</v>
      </c>
      <c r="B226" t="str">
        <f>IF(moushikubun214="","追加",moushikubun214)</f>
        <v>追加</v>
      </c>
      <c r="C226" t="str">
        <f>shubetsu214&amp;""</f>
        <v/>
      </c>
      <c r="D226" t="str">
        <f>billid214&amp;""</f>
        <v/>
      </c>
      <c r="E226" t="str">
        <f>UPPER(SUBSTITUTE(番明[[#This Row],[ご請求番号]],"-",""))</f>
        <v/>
      </c>
      <c r="F226" t="str">
        <f>keiyakuid214&amp;""</f>
        <v/>
      </c>
      <c r="G226">
        <f>IF(companyyn214="既存コードに追加",1,0)</f>
        <v>0</v>
      </c>
      <c r="H226" t="str">
        <f>companycode214&amp;""</f>
        <v/>
      </c>
      <c r="I226" t="str">
        <f>IF(accelikkatsu214="","希望しない",accelikkatsu214)</f>
        <v>希望しない</v>
      </c>
      <c r="J226" t="str">
        <f>IF(belugabunyn214="","なし",belugabunyn214)</f>
        <v>なし</v>
      </c>
      <c r="K226" t="str">
        <f>belugabun214&amp;""</f>
        <v/>
      </c>
      <c r="L226" t="b">
        <f>shutoku214</f>
        <v>0</v>
      </c>
    </row>
    <row r="227" spans="1:12">
      <c r="A227">
        <v>215</v>
      </c>
      <c r="B227" t="str">
        <f>IF(moushikubun215="","追加",moushikubun215)</f>
        <v>追加</v>
      </c>
      <c r="C227" t="str">
        <f>shubetsu215&amp;""</f>
        <v/>
      </c>
      <c r="D227" t="str">
        <f>billid215&amp;""</f>
        <v/>
      </c>
      <c r="E227" t="str">
        <f>UPPER(SUBSTITUTE(番明[[#This Row],[ご請求番号]],"-",""))</f>
        <v/>
      </c>
      <c r="F227" t="str">
        <f>keiyakuid215&amp;""</f>
        <v/>
      </c>
      <c r="G227">
        <f>IF(companyyn215="既存コードに追加",1,0)</f>
        <v>0</v>
      </c>
      <c r="H227" t="str">
        <f>companycode215&amp;""</f>
        <v/>
      </c>
      <c r="I227" t="str">
        <f>IF(accelikkatsu215="","希望しない",accelikkatsu215)</f>
        <v>希望しない</v>
      </c>
      <c r="J227" t="str">
        <f>IF(belugabunyn215="","なし",belugabunyn215)</f>
        <v>なし</v>
      </c>
      <c r="K227" t="str">
        <f>belugabun215&amp;""</f>
        <v/>
      </c>
      <c r="L227" t="b">
        <f>shutoku215</f>
        <v>0</v>
      </c>
    </row>
    <row r="228" spans="1:12">
      <c r="A228">
        <v>216</v>
      </c>
      <c r="B228" t="str">
        <f>IF(moushikubun216="","追加",moushikubun216)</f>
        <v>追加</v>
      </c>
      <c r="C228" t="str">
        <f>shubetsu216&amp;""</f>
        <v/>
      </c>
      <c r="D228" t="str">
        <f>billid216&amp;""</f>
        <v/>
      </c>
      <c r="E228" t="str">
        <f>UPPER(SUBSTITUTE(番明[[#This Row],[ご請求番号]],"-",""))</f>
        <v/>
      </c>
      <c r="F228" t="str">
        <f>keiyakuid216&amp;""</f>
        <v/>
      </c>
      <c r="G228">
        <f>IF(companyyn216="既存コードに追加",1,0)</f>
        <v>0</v>
      </c>
      <c r="H228" t="str">
        <f>companycode216&amp;""</f>
        <v/>
      </c>
      <c r="I228" t="str">
        <f>IF(accelikkatsu216="","希望しない",accelikkatsu216)</f>
        <v>希望しない</v>
      </c>
      <c r="J228" t="str">
        <f>IF(belugabunyn216="","なし",belugabunyn216)</f>
        <v>なし</v>
      </c>
      <c r="K228" t="str">
        <f>belugabun216&amp;""</f>
        <v/>
      </c>
      <c r="L228" t="b">
        <f>shutoku216</f>
        <v>0</v>
      </c>
    </row>
    <row r="229" spans="1:12">
      <c r="A229">
        <v>217</v>
      </c>
      <c r="B229" t="str">
        <f>IF(moushikubun217="","追加",moushikubun217)</f>
        <v>追加</v>
      </c>
      <c r="C229" t="str">
        <f>shubetsu217&amp;""</f>
        <v/>
      </c>
      <c r="D229" t="str">
        <f>billid217&amp;""</f>
        <v/>
      </c>
      <c r="E229" t="str">
        <f>UPPER(SUBSTITUTE(番明[[#This Row],[ご請求番号]],"-",""))</f>
        <v/>
      </c>
      <c r="F229" t="str">
        <f>keiyakuid217&amp;""</f>
        <v/>
      </c>
      <c r="G229">
        <f>IF(companyyn217="既存コードに追加",1,0)</f>
        <v>0</v>
      </c>
      <c r="H229" t="str">
        <f>companycode217&amp;""</f>
        <v/>
      </c>
      <c r="I229" t="str">
        <f>IF(accelikkatsu217="","希望しない",accelikkatsu217)</f>
        <v>希望しない</v>
      </c>
      <c r="J229" t="str">
        <f>IF(belugabunyn217="","なし",belugabunyn217)</f>
        <v>なし</v>
      </c>
      <c r="K229" t="str">
        <f>belugabun217&amp;""</f>
        <v/>
      </c>
      <c r="L229" t="b">
        <f>shutoku217</f>
        <v>0</v>
      </c>
    </row>
    <row r="230" spans="1:12">
      <c r="A230">
        <v>218</v>
      </c>
      <c r="B230" t="str">
        <f>IF(moushikubun218="","追加",moushikubun218)</f>
        <v>追加</v>
      </c>
      <c r="C230" t="str">
        <f>shubetsu218&amp;""</f>
        <v/>
      </c>
      <c r="D230" t="str">
        <f>billid218&amp;""</f>
        <v/>
      </c>
      <c r="E230" t="str">
        <f>UPPER(SUBSTITUTE(番明[[#This Row],[ご請求番号]],"-",""))</f>
        <v/>
      </c>
      <c r="F230" t="str">
        <f>keiyakuid218&amp;""</f>
        <v/>
      </c>
      <c r="G230">
        <f>IF(companyyn218="既存コードに追加",1,0)</f>
        <v>0</v>
      </c>
      <c r="H230" t="str">
        <f>companycode218&amp;""</f>
        <v/>
      </c>
      <c r="I230" t="str">
        <f>IF(accelikkatsu218="","希望しない",accelikkatsu218)</f>
        <v>希望しない</v>
      </c>
      <c r="J230" t="str">
        <f>IF(belugabunyn218="","なし",belugabunyn218)</f>
        <v>なし</v>
      </c>
      <c r="K230" t="str">
        <f>belugabun218&amp;""</f>
        <v/>
      </c>
      <c r="L230" t="b">
        <f>shutoku218</f>
        <v>0</v>
      </c>
    </row>
    <row r="231" spans="1:12">
      <c r="A231">
        <v>219</v>
      </c>
      <c r="B231" t="str">
        <f>IF(moushikubun219="","追加",moushikubun219)</f>
        <v>追加</v>
      </c>
      <c r="C231" t="str">
        <f>shubetsu219&amp;""</f>
        <v/>
      </c>
      <c r="D231" t="str">
        <f>billid219&amp;""</f>
        <v/>
      </c>
      <c r="E231" t="str">
        <f>UPPER(SUBSTITUTE(番明[[#This Row],[ご請求番号]],"-",""))</f>
        <v/>
      </c>
      <c r="F231" t="str">
        <f>keiyakuid219&amp;""</f>
        <v/>
      </c>
      <c r="G231">
        <f>IF(companyyn219="既存コードに追加",1,0)</f>
        <v>0</v>
      </c>
      <c r="H231" t="str">
        <f>companycode219&amp;""</f>
        <v/>
      </c>
      <c r="I231" t="str">
        <f>IF(accelikkatsu219="","希望しない",accelikkatsu219)</f>
        <v>希望しない</v>
      </c>
      <c r="J231" t="str">
        <f>IF(belugabunyn219="","なし",belugabunyn219)</f>
        <v>なし</v>
      </c>
      <c r="K231" t="str">
        <f>belugabun219&amp;""</f>
        <v/>
      </c>
      <c r="L231" t="b">
        <f>shutoku219</f>
        <v>0</v>
      </c>
    </row>
    <row r="232" spans="1:12">
      <c r="A232">
        <v>220</v>
      </c>
      <c r="B232" t="str">
        <f>IF(moushikubun220="","追加",moushikubun220)</f>
        <v>追加</v>
      </c>
      <c r="C232" t="str">
        <f>shubetsu220&amp;""</f>
        <v/>
      </c>
      <c r="D232" t="str">
        <f>billid220&amp;""</f>
        <v/>
      </c>
      <c r="E232" t="str">
        <f>UPPER(SUBSTITUTE(番明[[#This Row],[ご請求番号]],"-",""))</f>
        <v/>
      </c>
      <c r="F232" t="str">
        <f>keiyakuid220&amp;""</f>
        <v/>
      </c>
      <c r="G232">
        <f>IF(companyyn220="既存コードに追加",1,0)</f>
        <v>0</v>
      </c>
      <c r="H232" t="str">
        <f>companycode220&amp;""</f>
        <v/>
      </c>
      <c r="I232" t="str">
        <f>IF(accelikkatsu220="","希望しない",accelikkatsu220)</f>
        <v>希望しない</v>
      </c>
      <c r="J232" t="str">
        <f>IF(belugabunyn220="","なし",belugabunyn220)</f>
        <v>なし</v>
      </c>
      <c r="K232" t="str">
        <f>belugabun220&amp;""</f>
        <v/>
      </c>
      <c r="L232" t="b">
        <f>shutoku220</f>
        <v>0</v>
      </c>
    </row>
    <row r="233" spans="1:12">
      <c r="A233">
        <v>221</v>
      </c>
      <c r="B233" t="str">
        <f>IF(moushikubun221="","追加",moushikubun221)</f>
        <v>追加</v>
      </c>
      <c r="C233" t="str">
        <f>shubetsu221&amp;""</f>
        <v/>
      </c>
      <c r="D233" t="str">
        <f>billid221&amp;""</f>
        <v/>
      </c>
      <c r="E233" t="str">
        <f>UPPER(SUBSTITUTE(番明[[#This Row],[ご請求番号]],"-",""))</f>
        <v/>
      </c>
      <c r="F233" t="str">
        <f>keiyakuid221&amp;""</f>
        <v/>
      </c>
      <c r="G233">
        <f>IF(companyyn221="既存コードに追加",1,0)</f>
        <v>0</v>
      </c>
      <c r="H233" t="str">
        <f>companycode221&amp;""</f>
        <v/>
      </c>
      <c r="I233" t="str">
        <f>IF(accelikkatsu221="","希望しない",accelikkatsu221)</f>
        <v>希望しない</v>
      </c>
      <c r="J233" t="str">
        <f>IF(belugabunyn221="","なし",belugabunyn221)</f>
        <v>なし</v>
      </c>
      <c r="K233" t="str">
        <f>belugabun221&amp;""</f>
        <v/>
      </c>
      <c r="L233" t="b">
        <f>shutoku221</f>
        <v>0</v>
      </c>
    </row>
    <row r="234" spans="1:12">
      <c r="A234">
        <v>222</v>
      </c>
      <c r="B234" t="str">
        <f>IF(moushikubun222="","追加",moushikubun222)</f>
        <v>追加</v>
      </c>
      <c r="C234" t="str">
        <f>shubetsu222&amp;""</f>
        <v/>
      </c>
      <c r="D234" t="str">
        <f>billid222&amp;""</f>
        <v/>
      </c>
      <c r="E234" t="str">
        <f>UPPER(SUBSTITUTE(番明[[#This Row],[ご請求番号]],"-",""))</f>
        <v/>
      </c>
      <c r="F234" t="str">
        <f>keiyakuid222&amp;""</f>
        <v/>
      </c>
      <c r="G234">
        <f>IF(companyyn222="既存コードに追加",1,0)</f>
        <v>0</v>
      </c>
      <c r="H234" t="str">
        <f>companycode222&amp;""</f>
        <v/>
      </c>
      <c r="I234" t="str">
        <f>IF(accelikkatsu222="","希望しない",accelikkatsu222)</f>
        <v>希望しない</v>
      </c>
      <c r="J234" t="str">
        <f>IF(belugabunyn222="","なし",belugabunyn222)</f>
        <v>なし</v>
      </c>
      <c r="K234" t="str">
        <f>belugabun222&amp;""</f>
        <v/>
      </c>
      <c r="L234" t="b">
        <f>shutoku222</f>
        <v>0</v>
      </c>
    </row>
    <row r="235" spans="1:12">
      <c r="A235">
        <v>223</v>
      </c>
      <c r="B235" t="str">
        <f>IF(moushikubun223="","追加",moushikubun223)</f>
        <v>追加</v>
      </c>
      <c r="C235" t="str">
        <f>shubetsu223&amp;""</f>
        <v/>
      </c>
      <c r="D235" t="str">
        <f>billid223&amp;""</f>
        <v/>
      </c>
      <c r="E235" t="str">
        <f>UPPER(SUBSTITUTE(番明[[#This Row],[ご請求番号]],"-",""))</f>
        <v/>
      </c>
      <c r="F235" t="str">
        <f>keiyakuid223&amp;""</f>
        <v/>
      </c>
      <c r="G235">
        <f>IF(companyyn223="既存コードに追加",1,0)</f>
        <v>0</v>
      </c>
      <c r="H235" t="str">
        <f>companycode223&amp;""</f>
        <v/>
      </c>
      <c r="I235" t="str">
        <f>IF(accelikkatsu223="","希望しない",accelikkatsu223)</f>
        <v>希望しない</v>
      </c>
      <c r="J235" t="str">
        <f>IF(belugabunyn223="","なし",belugabunyn223)</f>
        <v>なし</v>
      </c>
      <c r="K235" t="str">
        <f>belugabun223&amp;""</f>
        <v/>
      </c>
      <c r="L235" t="b">
        <f>shutoku223</f>
        <v>0</v>
      </c>
    </row>
    <row r="236" spans="1:12">
      <c r="A236">
        <v>224</v>
      </c>
      <c r="B236" t="str">
        <f>IF(moushikubun224="","追加",moushikubun224)</f>
        <v>追加</v>
      </c>
      <c r="C236" t="str">
        <f>shubetsu224&amp;""</f>
        <v/>
      </c>
      <c r="D236" t="str">
        <f>billid224&amp;""</f>
        <v/>
      </c>
      <c r="E236" t="str">
        <f>UPPER(SUBSTITUTE(番明[[#This Row],[ご請求番号]],"-",""))</f>
        <v/>
      </c>
      <c r="F236" t="str">
        <f>keiyakuid224&amp;""</f>
        <v/>
      </c>
      <c r="G236">
        <f>IF(companyyn224="既存コードに追加",1,0)</f>
        <v>0</v>
      </c>
      <c r="H236" t="str">
        <f>companycode224&amp;""</f>
        <v/>
      </c>
      <c r="I236" t="str">
        <f>IF(accelikkatsu224="","希望しない",accelikkatsu224)</f>
        <v>希望しない</v>
      </c>
      <c r="J236" t="str">
        <f>IF(belugabunyn224="","なし",belugabunyn224)</f>
        <v>なし</v>
      </c>
      <c r="K236" t="str">
        <f>belugabun224&amp;""</f>
        <v/>
      </c>
      <c r="L236" t="b">
        <f>shutoku224</f>
        <v>0</v>
      </c>
    </row>
    <row r="237" spans="1:12">
      <c r="A237">
        <v>225</v>
      </c>
      <c r="B237" t="str">
        <f>IF(moushikubun225="","追加",moushikubun225)</f>
        <v>追加</v>
      </c>
      <c r="C237" t="str">
        <f>shubetsu225&amp;""</f>
        <v/>
      </c>
      <c r="D237" t="str">
        <f>billid225&amp;""</f>
        <v/>
      </c>
      <c r="E237" t="str">
        <f>UPPER(SUBSTITUTE(番明[[#This Row],[ご請求番号]],"-",""))</f>
        <v/>
      </c>
      <c r="F237" t="str">
        <f>keiyakuid225&amp;""</f>
        <v/>
      </c>
      <c r="G237">
        <f>IF(companyyn225="既存コードに追加",1,0)</f>
        <v>0</v>
      </c>
      <c r="H237" t="str">
        <f>companycode225&amp;""</f>
        <v/>
      </c>
      <c r="I237" t="str">
        <f>IF(accelikkatsu225="","希望しない",accelikkatsu225)</f>
        <v>希望しない</v>
      </c>
      <c r="J237" t="str">
        <f>IF(belugabunyn225="","なし",belugabunyn225)</f>
        <v>なし</v>
      </c>
      <c r="K237" t="str">
        <f>belugabun225&amp;""</f>
        <v/>
      </c>
      <c r="L237" t="b">
        <f>shutoku225</f>
        <v>0</v>
      </c>
    </row>
    <row r="238" spans="1:12">
      <c r="A238">
        <v>226</v>
      </c>
      <c r="B238" t="str">
        <f>IF(moushikubun226="","追加",moushikubun226)</f>
        <v>追加</v>
      </c>
      <c r="C238" t="str">
        <f>shubetsu226&amp;""</f>
        <v/>
      </c>
      <c r="D238" t="str">
        <f>billid226&amp;""</f>
        <v/>
      </c>
      <c r="E238" t="str">
        <f>UPPER(SUBSTITUTE(番明[[#This Row],[ご請求番号]],"-",""))</f>
        <v/>
      </c>
      <c r="F238" t="str">
        <f>keiyakuid226&amp;""</f>
        <v/>
      </c>
      <c r="G238">
        <f>IF(companyyn226="既存コードに追加",1,0)</f>
        <v>0</v>
      </c>
      <c r="H238" t="str">
        <f>companycode226&amp;""</f>
        <v/>
      </c>
      <c r="I238" t="str">
        <f>IF(accelikkatsu226="","希望しない",accelikkatsu226)</f>
        <v>希望しない</v>
      </c>
      <c r="J238" t="str">
        <f>IF(belugabunyn226="","なし",belugabunyn226)</f>
        <v>なし</v>
      </c>
      <c r="K238" t="str">
        <f>belugabun226&amp;""</f>
        <v/>
      </c>
      <c r="L238" t="b">
        <f>shutoku226</f>
        <v>0</v>
      </c>
    </row>
    <row r="239" spans="1:12">
      <c r="A239">
        <v>227</v>
      </c>
      <c r="B239" t="str">
        <f>IF(moushikubun227="","追加",moushikubun227)</f>
        <v>追加</v>
      </c>
      <c r="C239" t="str">
        <f>shubetsu227&amp;""</f>
        <v/>
      </c>
      <c r="D239" t="str">
        <f>billid227&amp;""</f>
        <v/>
      </c>
      <c r="E239" t="str">
        <f>UPPER(SUBSTITUTE(番明[[#This Row],[ご請求番号]],"-",""))</f>
        <v/>
      </c>
      <c r="F239" t="str">
        <f>keiyakuid227&amp;""</f>
        <v/>
      </c>
      <c r="G239">
        <f>IF(companyyn227="既存コードに追加",1,0)</f>
        <v>0</v>
      </c>
      <c r="H239" t="str">
        <f>companycode227&amp;""</f>
        <v/>
      </c>
      <c r="I239" t="str">
        <f>IF(accelikkatsu227="","希望しない",accelikkatsu227)</f>
        <v>希望しない</v>
      </c>
      <c r="J239" t="str">
        <f>IF(belugabunyn227="","なし",belugabunyn227)</f>
        <v>なし</v>
      </c>
      <c r="K239" t="str">
        <f>belugabun227&amp;""</f>
        <v/>
      </c>
      <c r="L239" t="b">
        <f>shutoku227</f>
        <v>0</v>
      </c>
    </row>
    <row r="240" spans="1:12">
      <c r="A240">
        <v>228</v>
      </c>
      <c r="B240" t="str">
        <f>IF(moushikubun228="","追加",moushikubun228)</f>
        <v>追加</v>
      </c>
      <c r="C240" t="str">
        <f>shubetsu228&amp;""</f>
        <v/>
      </c>
      <c r="D240" t="str">
        <f>billid228&amp;""</f>
        <v/>
      </c>
      <c r="E240" t="str">
        <f>UPPER(SUBSTITUTE(番明[[#This Row],[ご請求番号]],"-",""))</f>
        <v/>
      </c>
      <c r="F240" t="str">
        <f>keiyakuid228&amp;""</f>
        <v/>
      </c>
      <c r="G240">
        <f>IF(companyyn228="既存コードに追加",1,0)</f>
        <v>0</v>
      </c>
      <c r="H240" t="str">
        <f>companycode228&amp;""</f>
        <v/>
      </c>
      <c r="I240" t="str">
        <f>IF(accelikkatsu228="","希望しない",accelikkatsu228)</f>
        <v>希望しない</v>
      </c>
      <c r="J240" t="str">
        <f>IF(belugabunyn228="","なし",belugabunyn228)</f>
        <v>なし</v>
      </c>
      <c r="K240" t="str">
        <f>belugabun228&amp;""</f>
        <v/>
      </c>
      <c r="L240" t="b">
        <f>shutoku228</f>
        <v>0</v>
      </c>
    </row>
    <row r="241" spans="1:12">
      <c r="A241">
        <v>229</v>
      </c>
      <c r="B241" t="str">
        <f>IF(moushikubun229="","追加",moushikubun229)</f>
        <v>追加</v>
      </c>
      <c r="C241" t="str">
        <f>shubetsu229&amp;""</f>
        <v/>
      </c>
      <c r="D241" t="str">
        <f>billid229&amp;""</f>
        <v/>
      </c>
      <c r="E241" t="str">
        <f>UPPER(SUBSTITUTE(番明[[#This Row],[ご請求番号]],"-",""))</f>
        <v/>
      </c>
      <c r="F241" t="str">
        <f>keiyakuid229&amp;""</f>
        <v/>
      </c>
      <c r="G241">
        <f>IF(companyyn229="既存コードに追加",1,0)</f>
        <v>0</v>
      </c>
      <c r="H241" t="str">
        <f>companycode229&amp;""</f>
        <v/>
      </c>
      <c r="I241" t="str">
        <f>IF(accelikkatsu229="","希望しない",accelikkatsu229)</f>
        <v>希望しない</v>
      </c>
      <c r="J241" t="str">
        <f>IF(belugabunyn229="","なし",belugabunyn229)</f>
        <v>なし</v>
      </c>
      <c r="K241" t="str">
        <f>belugabun229&amp;""</f>
        <v/>
      </c>
      <c r="L241" t="b">
        <f>shutoku229</f>
        <v>0</v>
      </c>
    </row>
    <row r="242" spans="1:12">
      <c r="A242">
        <v>230</v>
      </c>
      <c r="B242" t="str">
        <f>IF(moushikubun230="","追加",moushikubun230)</f>
        <v>追加</v>
      </c>
      <c r="C242" t="str">
        <f>shubetsu230&amp;""</f>
        <v/>
      </c>
      <c r="D242" t="str">
        <f>billid230&amp;""</f>
        <v/>
      </c>
      <c r="E242" t="str">
        <f>UPPER(SUBSTITUTE(番明[[#This Row],[ご請求番号]],"-",""))</f>
        <v/>
      </c>
      <c r="F242" t="str">
        <f>keiyakuid230&amp;""</f>
        <v/>
      </c>
      <c r="G242">
        <f>IF(companyyn230="既存コードに追加",1,0)</f>
        <v>0</v>
      </c>
      <c r="H242" t="str">
        <f>companycode230&amp;""</f>
        <v/>
      </c>
      <c r="I242" t="str">
        <f>IF(accelikkatsu230="","希望しない",accelikkatsu230)</f>
        <v>希望しない</v>
      </c>
      <c r="J242" t="str">
        <f>IF(belugabunyn230="","なし",belugabunyn230)</f>
        <v>なし</v>
      </c>
      <c r="K242" t="str">
        <f>belugabun230&amp;""</f>
        <v/>
      </c>
      <c r="L242" t="b">
        <f>shutoku230</f>
        <v>0</v>
      </c>
    </row>
    <row r="243" spans="1:12">
      <c r="A243">
        <v>231</v>
      </c>
      <c r="B243" t="str">
        <f>IF(moushikubun231="","追加",moushikubun231)</f>
        <v>追加</v>
      </c>
      <c r="C243" t="str">
        <f>shubetsu231&amp;""</f>
        <v/>
      </c>
      <c r="D243" t="str">
        <f>billid231&amp;""</f>
        <v/>
      </c>
      <c r="E243" t="str">
        <f>UPPER(SUBSTITUTE(番明[[#This Row],[ご請求番号]],"-",""))</f>
        <v/>
      </c>
      <c r="F243" t="str">
        <f>keiyakuid231&amp;""</f>
        <v/>
      </c>
      <c r="G243">
        <f>IF(companyyn231="既存コードに追加",1,0)</f>
        <v>0</v>
      </c>
      <c r="H243" t="str">
        <f>companycode231&amp;""</f>
        <v/>
      </c>
      <c r="I243" t="str">
        <f>IF(accelikkatsu231="","希望しない",accelikkatsu231)</f>
        <v>希望しない</v>
      </c>
      <c r="J243" t="str">
        <f>IF(belugabunyn231="","なし",belugabunyn231)</f>
        <v>なし</v>
      </c>
      <c r="K243" t="str">
        <f>belugabun231&amp;""</f>
        <v/>
      </c>
      <c r="L243" t="b">
        <f>shutoku231</f>
        <v>0</v>
      </c>
    </row>
    <row r="244" spans="1:12">
      <c r="A244">
        <v>232</v>
      </c>
      <c r="B244" t="str">
        <f>IF(moushikubun232="","追加",moushikubun232)</f>
        <v>追加</v>
      </c>
      <c r="C244" t="str">
        <f>shubetsu232&amp;""</f>
        <v/>
      </c>
      <c r="D244" t="str">
        <f>billid232&amp;""</f>
        <v/>
      </c>
      <c r="E244" t="str">
        <f>UPPER(SUBSTITUTE(番明[[#This Row],[ご請求番号]],"-",""))</f>
        <v/>
      </c>
      <c r="F244" t="str">
        <f>keiyakuid232&amp;""</f>
        <v/>
      </c>
      <c r="G244">
        <f>IF(companyyn232="既存コードに追加",1,0)</f>
        <v>0</v>
      </c>
      <c r="H244" t="str">
        <f>companycode232&amp;""</f>
        <v/>
      </c>
      <c r="I244" t="str">
        <f>IF(accelikkatsu232="","希望しない",accelikkatsu232)</f>
        <v>希望しない</v>
      </c>
      <c r="J244" t="str">
        <f>IF(belugabunyn232="","なし",belugabunyn232)</f>
        <v>なし</v>
      </c>
      <c r="K244" t="str">
        <f>belugabun232&amp;""</f>
        <v/>
      </c>
      <c r="L244" t="b">
        <f>shutoku232</f>
        <v>0</v>
      </c>
    </row>
    <row r="245" spans="1:12">
      <c r="A245">
        <v>233</v>
      </c>
      <c r="B245" t="str">
        <f>IF(moushikubun233="","追加",moushikubun233)</f>
        <v>追加</v>
      </c>
      <c r="C245" t="str">
        <f>shubetsu233&amp;""</f>
        <v/>
      </c>
      <c r="D245" t="str">
        <f>billid233&amp;""</f>
        <v/>
      </c>
      <c r="E245" t="str">
        <f>UPPER(SUBSTITUTE(番明[[#This Row],[ご請求番号]],"-",""))</f>
        <v/>
      </c>
      <c r="F245" t="str">
        <f>keiyakuid233&amp;""</f>
        <v/>
      </c>
      <c r="G245">
        <f>IF(companyyn233="既存コードに追加",1,0)</f>
        <v>0</v>
      </c>
      <c r="H245" t="str">
        <f>companycode233&amp;""</f>
        <v/>
      </c>
      <c r="I245" t="str">
        <f>IF(accelikkatsu233="","希望しない",accelikkatsu233)</f>
        <v>希望しない</v>
      </c>
      <c r="J245" t="str">
        <f>IF(belugabunyn233="","なし",belugabunyn233)</f>
        <v>なし</v>
      </c>
      <c r="K245" t="str">
        <f>belugabun233&amp;""</f>
        <v/>
      </c>
      <c r="L245" t="b">
        <f>shutoku233</f>
        <v>0</v>
      </c>
    </row>
    <row r="246" spans="1:12">
      <c r="A246">
        <v>234</v>
      </c>
      <c r="B246" t="str">
        <f>IF(moushikubun234="","追加",moushikubun234)</f>
        <v>追加</v>
      </c>
      <c r="C246" t="str">
        <f>shubetsu234&amp;""</f>
        <v/>
      </c>
      <c r="D246" t="str">
        <f>billid234&amp;""</f>
        <v/>
      </c>
      <c r="E246" t="str">
        <f>UPPER(SUBSTITUTE(番明[[#This Row],[ご請求番号]],"-",""))</f>
        <v/>
      </c>
      <c r="F246" t="str">
        <f>keiyakuid234&amp;""</f>
        <v/>
      </c>
      <c r="G246">
        <f>IF(companyyn234="既存コードに追加",1,0)</f>
        <v>0</v>
      </c>
      <c r="H246" t="str">
        <f>companycode234&amp;""</f>
        <v/>
      </c>
      <c r="I246" t="str">
        <f>IF(accelikkatsu234="","希望しない",accelikkatsu234)</f>
        <v>希望しない</v>
      </c>
      <c r="J246" t="str">
        <f>IF(belugabunyn234="","なし",belugabunyn234)</f>
        <v>なし</v>
      </c>
      <c r="K246" t="str">
        <f>belugabun234&amp;""</f>
        <v/>
      </c>
      <c r="L246" t="b">
        <f>shutoku234</f>
        <v>0</v>
      </c>
    </row>
    <row r="247" spans="1:12">
      <c r="A247">
        <v>235</v>
      </c>
      <c r="B247" t="str">
        <f>IF(moushikubun235="","追加",moushikubun235)</f>
        <v>追加</v>
      </c>
      <c r="C247" t="str">
        <f>shubetsu235&amp;""</f>
        <v/>
      </c>
      <c r="D247" t="str">
        <f>billid235&amp;""</f>
        <v/>
      </c>
      <c r="E247" t="str">
        <f>UPPER(SUBSTITUTE(番明[[#This Row],[ご請求番号]],"-",""))</f>
        <v/>
      </c>
      <c r="F247" t="str">
        <f>keiyakuid235&amp;""</f>
        <v/>
      </c>
      <c r="G247">
        <f>IF(companyyn235="既存コードに追加",1,0)</f>
        <v>0</v>
      </c>
      <c r="H247" t="str">
        <f>companycode235&amp;""</f>
        <v/>
      </c>
      <c r="I247" t="str">
        <f>IF(accelikkatsu235="","希望しない",accelikkatsu235)</f>
        <v>希望しない</v>
      </c>
      <c r="J247" t="str">
        <f>IF(belugabunyn235="","なし",belugabunyn235)</f>
        <v>なし</v>
      </c>
      <c r="K247" t="str">
        <f>belugabun235&amp;""</f>
        <v/>
      </c>
      <c r="L247" t="b">
        <f>shutoku235</f>
        <v>0</v>
      </c>
    </row>
    <row r="248" spans="1:12">
      <c r="A248">
        <v>236</v>
      </c>
      <c r="B248" t="str">
        <f>IF(moushikubun236="","追加",moushikubun236)</f>
        <v>追加</v>
      </c>
      <c r="C248" t="str">
        <f>shubetsu236&amp;""</f>
        <v/>
      </c>
      <c r="D248" t="str">
        <f>billid236&amp;""</f>
        <v/>
      </c>
      <c r="E248" t="str">
        <f>UPPER(SUBSTITUTE(番明[[#This Row],[ご請求番号]],"-",""))</f>
        <v/>
      </c>
      <c r="F248" t="str">
        <f>keiyakuid236&amp;""</f>
        <v/>
      </c>
      <c r="G248">
        <f>IF(companyyn236="既存コードに追加",1,0)</f>
        <v>0</v>
      </c>
      <c r="H248" t="str">
        <f>companycode236&amp;""</f>
        <v/>
      </c>
      <c r="I248" t="str">
        <f>IF(accelikkatsu236="","希望しない",accelikkatsu236)</f>
        <v>希望しない</v>
      </c>
      <c r="J248" t="str">
        <f>IF(belugabunyn236="","なし",belugabunyn236)</f>
        <v>なし</v>
      </c>
      <c r="K248" t="str">
        <f>belugabun236&amp;""</f>
        <v/>
      </c>
      <c r="L248" t="b">
        <f>shutoku236</f>
        <v>0</v>
      </c>
    </row>
    <row r="249" spans="1:12">
      <c r="A249">
        <v>237</v>
      </c>
      <c r="B249" t="str">
        <f>IF(moushikubun237="","追加",moushikubun237)</f>
        <v>追加</v>
      </c>
      <c r="C249" t="str">
        <f>shubetsu237&amp;""</f>
        <v/>
      </c>
      <c r="D249" t="str">
        <f>billid237&amp;""</f>
        <v/>
      </c>
      <c r="E249" t="str">
        <f>UPPER(SUBSTITUTE(番明[[#This Row],[ご請求番号]],"-",""))</f>
        <v/>
      </c>
      <c r="F249" t="str">
        <f>keiyakuid237&amp;""</f>
        <v/>
      </c>
      <c r="G249">
        <f>IF(companyyn237="既存コードに追加",1,0)</f>
        <v>0</v>
      </c>
      <c r="H249" t="str">
        <f>companycode237&amp;""</f>
        <v/>
      </c>
      <c r="I249" t="str">
        <f>IF(accelikkatsu237="","希望しない",accelikkatsu237)</f>
        <v>希望しない</v>
      </c>
      <c r="J249" t="str">
        <f>IF(belugabunyn237="","なし",belugabunyn237)</f>
        <v>なし</v>
      </c>
      <c r="K249" t="str">
        <f>belugabun237&amp;""</f>
        <v/>
      </c>
      <c r="L249" t="b">
        <f>shutoku237</f>
        <v>0</v>
      </c>
    </row>
    <row r="250" spans="1:12">
      <c r="A250">
        <v>238</v>
      </c>
      <c r="B250" t="str">
        <f>IF(moushikubun238="","追加",moushikubun238)</f>
        <v>追加</v>
      </c>
      <c r="C250" t="str">
        <f>shubetsu238&amp;""</f>
        <v/>
      </c>
      <c r="D250" t="str">
        <f>billid238&amp;""</f>
        <v/>
      </c>
      <c r="E250" t="str">
        <f>UPPER(SUBSTITUTE(番明[[#This Row],[ご請求番号]],"-",""))</f>
        <v/>
      </c>
      <c r="F250" t="str">
        <f>keiyakuid238&amp;""</f>
        <v/>
      </c>
      <c r="G250">
        <f>IF(companyyn238="既存コードに追加",1,0)</f>
        <v>0</v>
      </c>
      <c r="H250" t="str">
        <f>companycode238&amp;""</f>
        <v/>
      </c>
      <c r="I250" t="str">
        <f>IF(accelikkatsu238="","希望しない",accelikkatsu238)</f>
        <v>希望しない</v>
      </c>
      <c r="J250" t="str">
        <f>IF(belugabunyn238="","なし",belugabunyn238)</f>
        <v>なし</v>
      </c>
      <c r="K250" t="str">
        <f>belugabun238&amp;""</f>
        <v/>
      </c>
      <c r="L250" t="b">
        <f>shutoku238</f>
        <v>0</v>
      </c>
    </row>
    <row r="251" spans="1:12">
      <c r="A251">
        <v>239</v>
      </c>
      <c r="B251" t="str">
        <f>IF(moushikubun239="","追加",moushikubun239)</f>
        <v>追加</v>
      </c>
      <c r="C251" t="str">
        <f>shubetsu239&amp;""</f>
        <v/>
      </c>
      <c r="D251" t="str">
        <f>billid239&amp;""</f>
        <v/>
      </c>
      <c r="E251" t="str">
        <f>UPPER(SUBSTITUTE(番明[[#This Row],[ご請求番号]],"-",""))</f>
        <v/>
      </c>
      <c r="F251" t="str">
        <f>keiyakuid239&amp;""</f>
        <v/>
      </c>
      <c r="G251">
        <f>IF(companyyn239="既存コードに追加",1,0)</f>
        <v>0</v>
      </c>
      <c r="H251" t="str">
        <f>companycode239&amp;""</f>
        <v/>
      </c>
      <c r="I251" t="str">
        <f>IF(accelikkatsu239="","希望しない",accelikkatsu239)</f>
        <v>希望しない</v>
      </c>
      <c r="J251" t="str">
        <f>IF(belugabunyn239="","なし",belugabunyn239)</f>
        <v>なし</v>
      </c>
      <c r="K251" t="str">
        <f>belugabun239&amp;""</f>
        <v/>
      </c>
      <c r="L251" t="b">
        <f>shutoku239</f>
        <v>0</v>
      </c>
    </row>
    <row r="252" spans="1:12">
      <c r="A252">
        <v>240</v>
      </c>
      <c r="B252" t="str">
        <f>IF(moushikubun240="","追加",moushikubun240)</f>
        <v>追加</v>
      </c>
      <c r="C252" t="str">
        <f>shubetsu240&amp;""</f>
        <v/>
      </c>
      <c r="D252" t="str">
        <f>billid240&amp;""</f>
        <v/>
      </c>
      <c r="E252" t="str">
        <f>UPPER(SUBSTITUTE(番明[[#This Row],[ご請求番号]],"-",""))</f>
        <v/>
      </c>
      <c r="F252" t="str">
        <f>keiyakuid240&amp;""</f>
        <v/>
      </c>
      <c r="G252">
        <f>IF(companyyn240="既存コードに追加",1,0)</f>
        <v>0</v>
      </c>
      <c r="H252" t="str">
        <f>companycode240&amp;""</f>
        <v/>
      </c>
      <c r="I252" t="str">
        <f>IF(accelikkatsu240="","希望しない",accelikkatsu240)</f>
        <v>希望しない</v>
      </c>
      <c r="J252" t="str">
        <f>IF(belugabunyn240="","なし",belugabunyn240)</f>
        <v>なし</v>
      </c>
      <c r="K252" t="str">
        <f>belugabun240&amp;""</f>
        <v/>
      </c>
      <c r="L252" t="b">
        <f>shutoku240</f>
        <v>0</v>
      </c>
    </row>
    <row r="253" spans="1:12">
      <c r="A253">
        <v>241</v>
      </c>
      <c r="B253" t="str">
        <f>IF(moushikubun241="","追加",moushikubun241)</f>
        <v>追加</v>
      </c>
      <c r="C253" t="str">
        <f>shubetsu241&amp;""</f>
        <v/>
      </c>
      <c r="D253" t="str">
        <f>billid241&amp;""</f>
        <v/>
      </c>
      <c r="E253" t="str">
        <f>UPPER(SUBSTITUTE(番明[[#This Row],[ご請求番号]],"-",""))</f>
        <v/>
      </c>
      <c r="F253" t="str">
        <f>keiyakuid241&amp;""</f>
        <v/>
      </c>
      <c r="G253">
        <f>IF(companyyn241="既存コードに追加",1,0)</f>
        <v>0</v>
      </c>
      <c r="H253" t="str">
        <f>companycode241&amp;""</f>
        <v/>
      </c>
      <c r="I253" t="str">
        <f>IF(accelikkatsu241="","希望しない",accelikkatsu241)</f>
        <v>希望しない</v>
      </c>
      <c r="J253" t="str">
        <f>IF(belugabunyn241="","なし",belugabunyn241)</f>
        <v>なし</v>
      </c>
      <c r="K253" t="str">
        <f>belugabun241&amp;""</f>
        <v/>
      </c>
      <c r="L253" t="b">
        <f>shutoku241</f>
        <v>0</v>
      </c>
    </row>
    <row r="254" spans="1:12">
      <c r="A254">
        <v>242</v>
      </c>
      <c r="B254" t="str">
        <f>IF(moushikubun242="","追加",moushikubun242)</f>
        <v>追加</v>
      </c>
      <c r="C254" t="str">
        <f>shubetsu242&amp;""</f>
        <v/>
      </c>
      <c r="D254" t="str">
        <f>billid242&amp;""</f>
        <v/>
      </c>
      <c r="E254" t="str">
        <f>UPPER(SUBSTITUTE(番明[[#This Row],[ご請求番号]],"-",""))</f>
        <v/>
      </c>
      <c r="F254" t="str">
        <f>keiyakuid242&amp;""</f>
        <v/>
      </c>
      <c r="G254">
        <f>IF(companyyn242="既存コードに追加",1,0)</f>
        <v>0</v>
      </c>
      <c r="H254" t="str">
        <f>companycode242&amp;""</f>
        <v/>
      </c>
      <c r="I254" t="str">
        <f>IF(accelikkatsu242="","希望しない",accelikkatsu242)</f>
        <v>希望しない</v>
      </c>
      <c r="J254" t="str">
        <f>IF(belugabunyn242="","なし",belugabunyn242)</f>
        <v>なし</v>
      </c>
      <c r="K254" t="str">
        <f>belugabun242&amp;""</f>
        <v/>
      </c>
      <c r="L254" t="b">
        <f>shutoku242</f>
        <v>0</v>
      </c>
    </row>
    <row r="255" spans="1:12">
      <c r="A255">
        <v>243</v>
      </c>
      <c r="B255" t="str">
        <f>IF(moushikubun243="","追加",moushikubun243)</f>
        <v>追加</v>
      </c>
      <c r="C255" t="str">
        <f>shubetsu243&amp;""</f>
        <v/>
      </c>
      <c r="D255" t="str">
        <f>billid243&amp;""</f>
        <v/>
      </c>
      <c r="E255" t="str">
        <f>UPPER(SUBSTITUTE(番明[[#This Row],[ご請求番号]],"-",""))</f>
        <v/>
      </c>
      <c r="F255" t="str">
        <f>keiyakuid243&amp;""</f>
        <v/>
      </c>
      <c r="G255">
        <f>IF(companyyn243="既存コードに追加",1,0)</f>
        <v>0</v>
      </c>
      <c r="H255" t="str">
        <f>companycode243&amp;""</f>
        <v/>
      </c>
      <c r="I255" t="str">
        <f>IF(accelikkatsu243="","希望しない",accelikkatsu243)</f>
        <v>希望しない</v>
      </c>
      <c r="J255" t="str">
        <f>IF(belugabunyn243="","なし",belugabunyn243)</f>
        <v>なし</v>
      </c>
      <c r="K255" t="str">
        <f>belugabun243&amp;""</f>
        <v/>
      </c>
      <c r="L255" t="b">
        <f>shutoku243</f>
        <v>0</v>
      </c>
    </row>
    <row r="256" spans="1:12">
      <c r="A256">
        <v>244</v>
      </c>
      <c r="B256" t="str">
        <f>IF(moushikubun244="","追加",moushikubun244)</f>
        <v>追加</v>
      </c>
      <c r="C256" t="str">
        <f>shubetsu244&amp;""</f>
        <v/>
      </c>
      <c r="D256" t="str">
        <f>billid244&amp;""</f>
        <v/>
      </c>
      <c r="E256" t="str">
        <f>UPPER(SUBSTITUTE(番明[[#This Row],[ご請求番号]],"-",""))</f>
        <v/>
      </c>
      <c r="F256" t="str">
        <f>keiyakuid244&amp;""</f>
        <v/>
      </c>
      <c r="G256">
        <f>IF(companyyn244="既存コードに追加",1,0)</f>
        <v>0</v>
      </c>
      <c r="H256" t="str">
        <f>companycode244&amp;""</f>
        <v/>
      </c>
      <c r="I256" t="str">
        <f>IF(accelikkatsu244="","希望しない",accelikkatsu244)</f>
        <v>希望しない</v>
      </c>
      <c r="J256" t="str">
        <f>IF(belugabunyn244="","なし",belugabunyn244)</f>
        <v>なし</v>
      </c>
      <c r="K256" t="str">
        <f>belugabun244&amp;""</f>
        <v/>
      </c>
      <c r="L256" t="b">
        <f>shutoku244</f>
        <v>0</v>
      </c>
    </row>
    <row r="257" spans="1:12">
      <c r="A257">
        <v>245</v>
      </c>
      <c r="B257" t="str">
        <f>IF(moushikubun245="","追加",moushikubun245)</f>
        <v>追加</v>
      </c>
      <c r="C257" t="str">
        <f>shubetsu245&amp;""</f>
        <v/>
      </c>
      <c r="D257" t="str">
        <f>billid245&amp;""</f>
        <v/>
      </c>
      <c r="E257" t="str">
        <f>UPPER(SUBSTITUTE(番明[[#This Row],[ご請求番号]],"-",""))</f>
        <v/>
      </c>
      <c r="F257" t="str">
        <f>keiyakuid245&amp;""</f>
        <v/>
      </c>
      <c r="G257">
        <f>IF(companyyn245="既存コードに追加",1,0)</f>
        <v>0</v>
      </c>
      <c r="H257" t="str">
        <f>companycode245&amp;""</f>
        <v/>
      </c>
      <c r="I257" t="str">
        <f>IF(accelikkatsu245="","希望しない",accelikkatsu245)</f>
        <v>希望しない</v>
      </c>
      <c r="J257" t="str">
        <f>IF(belugabunyn245="","なし",belugabunyn245)</f>
        <v>なし</v>
      </c>
      <c r="K257" t="str">
        <f>belugabun245&amp;""</f>
        <v/>
      </c>
      <c r="L257" t="b">
        <f>shutoku245</f>
        <v>0</v>
      </c>
    </row>
    <row r="258" spans="1:12">
      <c r="A258">
        <v>246</v>
      </c>
      <c r="B258" t="str">
        <f>IF(moushikubun246="","追加",moushikubun246)</f>
        <v>追加</v>
      </c>
      <c r="C258" t="str">
        <f>shubetsu246&amp;""</f>
        <v/>
      </c>
      <c r="D258" t="str">
        <f>billid246&amp;""</f>
        <v/>
      </c>
      <c r="E258" t="str">
        <f>UPPER(SUBSTITUTE(番明[[#This Row],[ご請求番号]],"-",""))</f>
        <v/>
      </c>
      <c r="F258" t="str">
        <f>keiyakuid246&amp;""</f>
        <v/>
      </c>
      <c r="G258">
        <f>IF(companyyn246="既存コードに追加",1,0)</f>
        <v>0</v>
      </c>
      <c r="H258" t="str">
        <f>companycode246&amp;""</f>
        <v/>
      </c>
      <c r="I258" t="str">
        <f>IF(accelikkatsu246="","希望しない",accelikkatsu246)</f>
        <v>希望しない</v>
      </c>
      <c r="J258" t="str">
        <f>IF(belugabunyn246="","なし",belugabunyn246)</f>
        <v>なし</v>
      </c>
      <c r="K258" t="str">
        <f>belugabun246&amp;""</f>
        <v/>
      </c>
      <c r="L258" t="b">
        <f>shutoku246</f>
        <v>0</v>
      </c>
    </row>
    <row r="259" spans="1:12">
      <c r="A259">
        <v>247</v>
      </c>
      <c r="B259" t="str">
        <f>IF(moushikubun247="","追加",moushikubun247)</f>
        <v>追加</v>
      </c>
      <c r="C259" t="str">
        <f>shubetsu247&amp;""</f>
        <v/>
      </c>
      <c r="D259" t="str">
        <f>billid247&amp;""</f>
        <v/>
      </c>
      <c r="E259" t="str">
        <f>UPPER(SUBSTITUTE(番明[[#This Row],[ご請求番号]],"-",""))</f>
        <v/>
      </c>
      <c r="F259" t="str">
        <f>keiyakuid247&amp;""</f>
        <v/>
      </c>
      <c r="G259">
        <f>IF(companyyn247="既存コードに追加",1,0)</f>
        <v>0</v>
      </c>
      <c r="H259" t="str">
        <f>companycode247&amp;""</f>
        <v/>
      </c>
      <c r="I259" t="str">
        <f>IF(accelikkatsu247="","希望しない",accelikkatsu247)</f>
        <v>希望しない</v>
      </c>
      <c r="J259" t="str">
        <f>IF(belugabunyn247="","なし",belugabunyn247)</f>
        <v>なし</v>
      </c>
      <c r="K259" t="str">
        <f>belugabun247&amp;""</f>
        <v/>
      </c>
      <c r="L259" t="b">
        <f>shutoku247</f>
        <v>0</v>
      </c>
    </row>
    <row r="260" spans="1:12">
      <c r="A260">
        <v>248</v>
      </c>
      <c r="B260" t="str">
        <f>IF(moushikubun248="","追加",moushikubun248)</f>
        <v>追加</v>
      </c>
      <c r="C260" t="str">
        <f>shubetsu248&amp;""</f>
        <v/>
      </c>
      <c r="D260" t="str">
        <f>billid248&amp;""</f>
        <v/>
      </c>
      <c r="E260" t="str">
        <f>UPPER(SUBSTITUTE(番明[[#This Row],[ご請求番号]],"-",""))</f>
        <v/>
      </c>
      <c r="F260" t="str">
        <f>keiyakuid248&amp;""</f>
        <v/>
      </c>
      <c r="G260">
        <f>IF(companyyn248="既存コードに追加",1,0)</f>
        <v>0</v>
      </c>
      <c r="H260" t="str">
        <f>companycode248&amp;""</f>
        <v/>
      </c>
      <c r="I260" t="str">
        <f>IF(accelikkatsu248="","希望しない",accelikkatsu248)</f>
        <v>希望しない</v>
      </c>
      <c r="J260" t="str">
        <f>IF(belugabunyn248="","なし",belugabunyn248)</f>
        <v>なし</v>
      </c>
      <c r="K260" t="str">
        <f>belugabun248&amp;""</f>
        <v/>
      </c>
      <c r="L260" t="b">
        <f>shutoku248</f>
        <v>0</v>
      </c>
    </row>
    <row r="261" spans="1:12">
      <c r="A261">
        <v>249</v>
      </c>
      <c r="B261" t="str">
        <f>IF(moushikubun249="","追加",moushikubun249)</f>
        <v>追加</v>
      </c>
      <c r="C261" t="str">
        <f>shubetsu249&amp;""</f>
        <v/>
      </c>
      <c r="D261" t="str">
        <f>billid249&amp;""</f>
        <v/>
      </c>
      <c r="E261" t="str">
        <f>UPPER(SUBSTITUTE(番明[[#This Row],[ご請求番号]],"-",""))</f>
        <v/>
      </c>
      <c r="F261" t="str">
        <f>keiyakuid249&amp;""</f>
        <v/>
      </c>
      <c r="G261">
        <f>IF(companyyn249="既存コードに追加",1,0)</f>
        <v>0</v>
      </c>
      <c r="H261" t="str">
        <f>companycode249&amp;""</f>
        <v/>
      </c>
      <c r="I261" t="str">
        <f>IF(accelikkatsu249="","希望しない",accelikkatsu249)</f>
        <v>希望しない</v>
      </c>
      <c r="J261" t="str">
        <f>IF(belugabunyn249="","なし",belugabunyn249)</f>
        <v>なし</v>
      </c>
      <c r="K261" t="str">
        <f>belugabun249&amp;""</f>
        <v/>
      </c>
      <c r="L261" t="b">
        <f>shutoku249</f>
        <v>0</v>
      </c>
    </row>
    <row r="262" spans="1:12">
      <c r="A262">
        <v>250</v>
      </c>
      <c r="B262" t="str">
        <f>IF(moushikubun250="","追加",moushikubun250)</f>
        <v>追加</v>
      </c>
      <c r="C262" t="str">
        <f>shubetsu250&amp;""</f>
        <v/>
      </c>
      <c r="D262" t="str">
        <f>billid250&amp;""</f>
        <v/>
      </c>
      <c r="E262" t="str">
        <f>UPPER(SUBSTITUTE(番明[[#This Row],[ご請求番号]],"-",""))</f>
        <v/>
      </c>
      <c r="F262" t="str">
        <f>keiyakuid250&amp;""</f>
        <v/>
      </c>
      <c r="G262">
        <f>IF(companyyn250="既存コードに追加",1,0)</f>
        <v>0</v>
      </c>
      <c r="H262" t="str">
        <f>companycode250&amp;""</f>
        <v/>
      </c>
      <c r="I262" t="str">
        <f>IF(accelikkatsu250="","希望しない",accelikkatsu250)</f>
        <v>希望しない</v>
      </c>
      <c r="J262" t="str">
        <f>IF(belugabunyn250="","なし",belugabunyn250)</f>
        <v>なし</v>
      </c>
      <c r="K262" t="str">
        <f>belugabun250&amp;""</f>
        <v/>
      </c>
      <c r="L262" t="b">
        <f>shutoku250</f>
        <v>0</v>
      </c>
    </row>
    <row r="263" spans="1:12">
      <c r="A263">
        <v>251</v>
      </c>
      <c r="B263" t="str">
        <f>IF(moushikubun251="","追加",moushikubun251)</f>
        <v>追加</v>
      </c>
      <c r="C263" t="str">
        <f>shubetsu251&amp;""</f>
        <v/>
      </c>
      <c r="D263" t="str">
        <f>billid251&amp;""</f>
        <v/>
      </c>
      <c r="E263" t="str">
        <f>UPPER(SUBSTITUTE(番明[[#This Row],[ご請求番号]],"-",""))</f>
        <v/>
      </c>
      <c r="F263" t="str">
        <f>keiyakuid251&amp;""</f>
        <v/>
      </c>
      <c r="G263">
        <f>IF(companyyn251="既存コードに追加",1,0)</f>
        <v>0</v>
      </c>
      <c r="H263" t="str">
        <f>companycode251&amp;""</f>
        <v/>
      </c>
      <c r="I263" t="str">
        <f>IF(accelikkatsu251="","希望しない",accelikkatsu251)</f>
        <v>希望しない</v>
      </c>
      <c r="J263" t="str">
        <f>IF(belugabunyn251="","なし",belugabunyn251)</f>
        <v>なし</v>
      </c>
      <c r="K263" t="str">
        <f>belugabun251&amp;""</f>
        <v/>
      </c>
      <c r="L263" t="b">
        <f>shutoku251</f>
        <v>0</v>
      </c>
    </row>
    <row r="264" spans="1:12">
      <c r="A264">
        <v>252</v>
      </c>
      <c r="B264" t="str">
        <f>IF(moushikubun252="","追加",moushikubun252)</f>
        <v>追加</v>
      </c>
      <c r="C264" t="str">
        <f>shubetsu252&amp;""</f>
        <v/>
      </c>
      <c r="D264" t="str">
        <f>billid252&amp;""</f>
        <v/>
      </c>
      <c r="E264" t="str">
        <f>UPPER(SUBSTITUTE(番明[[#This Row],[ご請求番号]],"-",""))</f>
        <v/>
      </c>
      <c r="F264" t="str">
        <f>keiyakuid252&amp;""</f>
        <v/>
      </c>
      <c r="G264">
        <f>IF(companyyn252="既存コードに追加",1,0)</f>
        <v>0</v>
      </c>
      <c r="H264" t="str">
        <f>companycode252&amp;""</f>
        <v/>
      </c>
      <c r="I264" t="str">
        <f>IF(accelikkatsu252="","希望しない",accelikkatsu252)</f>
        <v>希望しない</v>
      </c>
      <c r="J264" t="str">
        <f>IF(belugabunyn252="","なし",belugabunyn252)</f>
        <v>なし</v>
      </c>
      <c r="K264" t="str">
        <f>belugabun252&amp;""</f>
        <v/>
      </c>
      <c r="L264" t="b">
        <f>shutoku252</f>
        <v>0</v>
      </c>
    </row>
    <row r="265" spans="1:12">
      <c r="A265">
        <v>253</v>
      </c>
      <c r="B265" t="str">
        <f>IF(moushikubun253="","追加",moushikubun253)</f>
        <v>追加</v>
      </c>
      <c r="C265" t="str">
        <f>shubetsu253&amp;""</f>
        <v/>
      </c>
      <c r="D265" t="str">
        <f>billid253&amp;""</f>
        <v/>
      </c>
      <c r="E265" t="str">
        <f>UPPER(SUBSTITUTE(番明[[#This Row],[ご請求番号]],"-",""))</f>
        <v/>
      </c>
      <c r="F265" t="str">
        <f>keiyakuid253&amp;""</f>
        <v/>
      </c>
      <c r="G265">
        <f>IF(companyyn253="既存コードに追加",1,0)</f>
        <v>0</v>
      </c>
      <c r="H265" t="str">
        <f>companycode253&amp;""</f>
        <v/>
      </c>
      <c r="I265" t="str">
        <f>IF(accelikkatsu253="","希望しない",accelikkatsu253)</f>
        <v>希望しない</v>
      </c>
      <c r="J265" t="str">
        <f>IF(belugabunyn253="","なし",belugabunyn253)</f>
        <v>なし</v>
      </c>
      <c r="K265" t="str">
        <f>belugabun253&amp;""</f>
        <v/>
      </c>
      <c r="L265" t="b">
        <f>shutoku253</f>
        <v>0</v>
      </c>
    </row>
    <row r="266" spans="1:12">
      <c r="A266">
        <v>254</v>
      </c>
      <c r="B266" t="str">
        <f>IF(moushikubun254="","追加",moushikubun254)</f>
        <v>追加</v>
      </c>
      <c r="C266" t="str">
        <f>shubetsu254&amp;""</f>
        <v/>
      </c>
      <c r="D266" t="str">
        <f>billid254&amp;""</f>
        <v/>
      </c>
      <c r="E266" t="str">
        <f>UPPER(SUBSTITUTE(番明[[#This Row],[ご請求番号]],"-",""))</f>
        <v/>
      </c>
      <c r="F266" t="str">
        <f>keiyakuid254&amp;""</f>
        <v/>
      </c>
      <c r="G266">
        <f>IF(companyyn254="既存コードに追加",1,0)</f>
        <v>0</v>
      </c>
      <c r="H266" t="str">
        <f>companycode254&amp;""</f>
        <v/>
      </c>
      <c r="I266" t="str">
        <f>IF(accelikkatsu254="","希望しない",accelikkatsu254)</f>
        <v>希望しない</v>
      </c>
      <c r="J266" t="str">
        <f>IF(belugabunyn254="","なし",belugabunyn254)</f>
        <v>なし</v>
      </c>
      <c r="K266" t="str">
        <f>belugabun254&amp;""</f>
        <v/>
      </c>
      <c r="L266" t="b">
        <f>shutoku254</f>
        <v>0</v>
      </c>
    </row>
    <row r="267" spans="1:12">
      <c r="A267">
        <v>255</v>
      </c>
      <c r="B267" t="str">
        <f>IF(moushikubun255="","追加",moushikubun255)</f>
        <v>追加</v>
      </c>
      <c r="C267" t="str">
        <f>shubetsu255&amp;""</f>
        <v/>
      </c>
      <c r="D267" t="str">
        <f>billid255&amp;""</f>
        <v/>
      </c>
      <c r="E267" t="str">
        <f>UPPER(SUBSTITUTE(番明[[#This Row],[ご請求番号]],"-",""))</f>
        <v/>
      </c>
      <c r="F267" t="str">
        <f>keiyakuid255&amp;""</f>
        <v/>
      </c>
      <c r="G267">
        <f>IF(companyyn255="既存コードに追加",1,0)</f>
        <v>0</v>
      </c>
      <c r="H267" t="str">
        <f>companycode255&amp;""</f>
        <v/>
      </c>
      <c r="I267" t="str">
        <f>IF(accelikkatsu255="","希望しない",accelikkatsu255)</f>
        <v>希望しない</v>
      </c>
      <c r="J267" t="str">
        <f>IF(belugabunyn255="","なし",belugabunyn255)</f>
        <v>なし</v>
      </c>
      <c r="K267" t="str">
        <f>belugabun255&amp;""</f>
        <v/>
      </c>
      <c r="L267" t="b">
        <f>shutoku255</f>
        <v>0</v>
      </c>
    </row>
    <row r="268" spans="1:12">
      <c r="A268">
        <v>256</v>
      </c>
      <c r="B268" t="str">
        <f>IF(moushikubun256="","追加",moushikubun256)</f>
        <v>追加</v>
      </c>
      <c r="C268" t="str">
        <f>shubetsu256&amp;""</f>
        <v/>
      </c>
      <c r="D268" t="str">
        <f>billid256&amp;""</f>
        <v/>
      </c>
      <c r="E268" t="str">
        <f>UPPER(SUBSTITUTE(番明[[#This Row],[ご請求番号]],"-",""))</f>
        <v/>
      </c>
      <c r="F268" t="str">
        <f>keiyakuid256&amp;""</f>
        <v/>
      </c>
      <c r="G268">
        <f>IF(companyyn256="既存コードに追加",1,0)</f>
        <v>0</v>
      </c>
      <c r="H268" t="str">
        <f>companycode256&amp;""</f>
        <v/>
      </c>
      <c r="I268" t="str">
        <f>IF(accelikkatsu256="","希望しない",accelikkatsu256)</f>
        <v>希望しない</v>
      </c>
      <c r="J268" t="str">
        <f>IF(belugabunyn256="","なし",belugabunyn256)</f>
        <v>なし</v>
      </c>
      <c r="K268" t="str">
        <f>belugabun256&amp;""</f>
        <v/>
      </c>
      <c r="L268" t="b">
        <f>shutoku256</f>
        <v>0</v>
      </c>
    </row>
    <row r="269" spans="1:12">
      <c r="A269">
        <v>257</v>
      </c>
      <c r="B269" t="str">
        <f>IF(moushikubun257="","追加",moushikubun257)</f>
        <v>追加</v>
      </c>
      <c r="C269" t="str">
        <f>shubetsu257&amp;""</f>
        <v/>
      </c>
      <c r="D269" t="str">
        <f>billid257&amp;""</f>
        <v/>
      </c>
      <c r="E269" t="str">
        <f>UPPER(SUBSTITUTE(番明[[#This Row],[ご請求番号]],"-",""))</f>
        <v/>
      </c>
      <c r="F269" t="str">
        <f>keiyakuid257&amp;""</f>
        <v/>
      </c>
      <c r="G269">
        <f>IF(companyyn257="既存コードに追加",1,0)</f>
        <v>0</v>
      </c>
      <c r="H269" t="str">
        <f>companycode257&amp;""</f>
        <v/>
      </c>
      <c r="I269" t="str">
        <f>IF(accelikkatsu257="","希望しない",accelikkatsu257)</f>
        <v>希望しない</v>
      </c>
      <c r="J269" t="str">
        <f>IF(belugabunyn257="","なし",belugabunyn257)</f>
        <v>なし</v>
      </c>
      <c r="K269" t="str">
        <f>belugabun257&amp;""</f>
        <v/>
      </c>
      <c r="L269" t="b">
        <f>shutoku257</f>
        <v>0</v>
      </c>
    </row>
    <row r="270" spans="1:12">
      <c r="A270">
        <v>258</v>
      </c>
      <c r="B270" t="str">
        <f>IF(moushikubun258="","追加",moushikubun258)</f>
        <v>追加</v>
      </c>
      <c r="C270" t="str">
        <f>shubetsu258&amp;""</f>
        <v/>
      </c>
      <c r="D270" t="str">
        <f>billid258&amp;""</f>
        <v/>
      </c>
      <c r="E270" t="str">
        <f>UPPER(SUBSTITUTE(番明[[#This Row],[ご請求番号]],"-",""))</f>
        <v/>
      </c>
      <c r="F270" t="str">
        <f>keiyakuid258&amp;""</f>
        <v/>
      </c>
      <c r="G270">
        <f>IF(companyyn258="既存コードに追加",1,0)</f>
        <v>0</v>
      </c>
      <c r="H270" t="str">
        <f>companycode258&amp;""</f>
        <v/>
      </c>
      <c r="I270" t="str">
        <f>IF(accelikkatsu258="","希望しない",accelikkatsu258)</f>
        <v>希望しない</v>
      </c>
      <c r="J270" t="str">
        <f>IF(belugabunyn258="","なし",belugabunyn258)</f>
        <v>なし</v>
      </c>
      <c r="K270" t="str">
        <f>belugabun258&amp;""</f>
        <v/>
      </c>
      <c r="L270" t="b">
        <f>shutoku258</f>
        <v>0</v>
      </c>
    </row>
    <row r="271" spans="1:12">
      <c r="A271">
        <v>259</v>
      </c>
      <c r="B271" t="str">
        <f>IF(moushikubun259="","追加",moushikubun259)</f>
        <v>追加</v>
      </c>
      <c r="C271" t="str">
        <f>shubetsu259&amp;""</f>
        <v/>
      </c>
      <c r="D271" t="str">
        <f>billid259&amp;""</f>
        <v/>
      </c>
      <c r="E271" t="str">
        <f>UPPER(SUBSTITUTE(番明[[#This Row],[ご請求番号]],"-",""))</f>
        <v/>
      </c>
      <c r="F271" t="str">
        <f>keiyakuid259&amp;""</f>
        <v/>
      </c>
      <c r="G271">
        <f>IF(companyyn259="既存コードに追加",1,0)</f>
        <v>0</v>
      </c>
      <c r="H271" t="str">
        <f>companycode259&amp;""</f>
        <v/>
      </c>
      <c r="I271" t="str">
        <f>IF(accelikkatsu259="","希望しない",accelikkatsu259)</f>
        <v>希望しない</v>
      </c>
      <c r="J271" t="str">
        <f>IF(belugabunyn259="","なし",belugabunyn259)</f>
        <v>なし</v>
      </c>
      <c r="K271" t="str">
        <f>belugabun259&amp;""</f>
        <v/>
      </c>
      <c r="L271" t="b">
        <f>shutoku259</f>
        <v>0</v>
      </c>
    </row>
    <row r="272" spans="1:12">
      <c r="A272">
        <v>260</v>
      </c>
      <c r="B272" t="str">
        <f>IF(moushikubun260="","追加",moushikubun260)</f>
        <v>追加</v>
      </c>
      <c r="C272" t="str">
        <f>shubetsu260&amp;""</f>
        <v/>
      </c>
      <c r="D272" t="str">
        <f>billid260&amp;""</f>
        <v/>
      </c>
      <c r="E272" t="str">
        <f>UPPER(SUBSTITUTE(番明[[#This Row],[ご請求番号]],"-",""))</f>
        <v/>
      </c>
      <c r="F272" t="str">
        <f>keiyakuid260&amp;""</f>
        <v/>
      </c>
      <c r="G272">
        <f>IF(companyyn260="既存コードに追加",1,0)</f>
        <v>0</v>
      </c>
      <c r="H272" t="str">
        <f>companycode260&amp;""</f>
        <v/>
      </c>
      <c r="I272" t="str">
        <f>IF(accelikkatsu260="","希望しない",accelikkatsu260)</f>
        <v>希望しない</v>
      </c>
      <c r="J272" t="str">
        <f>IF(belugabunyn260="","なし",belugabunyn260)</f>
        <v>なし</v>
      </c>
      <c r="K272" t="str">
        <f>belugabun260&amp;""</f>
        <v/>
      </c>
      <c r="L272" t="b">
        <f>shutoku260</f>
        <v>0</v>
      </c>
    </row>
    <row r="273" spans="1:12">
      <c r="A273">
        <v>261</v>
      </c>
      <c r="B273" t="str">
        <f>IF(moushikubun261="","追加",moushikubun261)</f>
        <v>追加</v>
      </c>
      <c r="C273" t="str">
        <f>shubetsu261&amp;""</f>
        <v/>
      </c>
      <c r="D273" t="str">
        <f>billid261&amp;""</f>
        <v/>
      </c>
      <c r="E273" t="str">
        <f>UPPER(SUBSTITUTE(番明[[#This Row],[ご請求番号]],"-",""))</f>
        <v/>
      </c>
      <c r="F273" t="str">
        <f>keiyakuid261&amp;""</f>
        <v/>
      </c>
      <c r="G273">
        <f>IF(companyyn261="既存コードに追加",1,0)</f>
        <v>0</v>
      </c>
      <c r="H273" t="str">
        <f>companycode261&amp;""</f>
        <v/>
      </c>
      <c r="I273" t="str">
        <f>IF(accelikkatsu261="","希望しない",accelikkatsu261)</f>
        <v>希望しない</v>
      </c>
      <c r="J273" t="str">
        <f>IF(belugabunyn261="","なし",belugabunyn261)</f>
        <v>なし</v>
      </c>
      <c r="K273" t="str">
        <f>belugabun261&amp;""</f>
        <v/>
      </c>
      <c r="L273" t="b">
        <f>shutoku261</f>
        <v>0</v>
      </c>
    </row>
    <row r="274" spans="1:12">
      <c r="A274">
        <v>262</v>
      </c>
      <c r="B274" t="str">
        <f>IF(moushikubun262="","追加",moushikubun262)</f>
        <v>追加</v>
      </c>
      <c r="C274" t="str">
        <f>shubetsu262&amp;""</f>
        <v/>
      </c>
      <c r="D274" t="str">
        <f>billid262&amp;""</f>
        <v/>
      </c>
      <c r="E274" t="str">
        <f>UPPER(SUBSTITUTE(番明[[#This Row],[ご請求番号]],"-",""))</f>
        <v/>
      </c>
      <c r="F274" t="str">
        <f>keiyakuid262&amp;""</f>
        <v/>
      </c>
      <c r="G274">
        <f>IF(companyyn262="既存コードに追加",1,0)</f>
        <v>0</v>
      </c>
      <c r="H274" t="str">
        <f>companycode262&amp;""</f>
        <v/>
      </c>
      <c r="I274" t="str">
        <f>IF(accelikkatsu262="","希望しない",accelikkatsu262)</f>
        <v>希望しない</v>
      </c>
      <c r="J274" t="str">
        <f>IF(belugabunyn262="","なし",belugabunyn262)</f>
        <v>なし</v>
      </c>
      <c r="K274" t="str">
        <f>belugabun262&amp;""</f>
        <v/>
      </c>
      <c r="L274" t="b">
        <f>shutoku262</f>
        <v>0</v>
      </c>
    </row>
    <row r="275" spans="1:12">
      <c r="A275">
        <v>263</v>
      </c>
      <c r="B275" t="str">
        <f>IF(moushikubun263="","追加",moushikubun263)</f>
        <v>追加</v>
      </c>
      <c r="C275" t="str">
        <f>shubetsu263&amp;""</f>
        <v/>
      </c>
      <c r="D275" t="str">
        <f>billid263&amp;""</f>
        <v/>
      </c>
      <c r="E275" t="str">
        <f>UPPER(SUBSTITUTE(番明[[#This Row],[ご請求番号]],"-",""))</f>
        <v/>
      </c>
      <c r="F275" t="str">
        <f>keiyakuid263&amp;""</f>
        <v/>
      </c>
      <c r="G275">
        <f>IF(companyyn263="既存コードに追加",1,0)</f>
        <v>0</v>
      </c>
      <c r="H275" t="str">
        <f>companycode263&amp;""</f>
        <v/>
      </c>
      <c r="I275" t="str">
        <f>IF(accelikkatsu263="","希望しない",accelikkatsu263)</f>
        <v>希望しない</v>
      </c>
      <c r="J275" t="str">
        <f>IF(belugabunyn263="","なし",belugabunyn263)</f>
        <v>なし</v>
      </c>
      <c r="K275" t="str">
        <f>belugabun263&amp;""</f>
        <v/>
      </c>
      <c r="L275" t="b">
        <f>shutoku263</f>
        <v>0</v>
      </c>
    </row>
    <row r="276" spans="1:12">
      <c r="A276">
        <v>264</v>
      </c>
      <c r="B276" t="str">
        <f>IF(moushikubun264="","追加",moushikubun264)</f>
        <v>追加</v>
      </c>
      <c r="C276" t="str">
        <f>shubetsu264&amp;""</f>
        <v/>
      </c>
      <c r="D276" t="str">
        <f>billid264&amp;""</f>
        <v/>
      </c>
      <c r="E276" t="str">
        <f>UPPER(SUBSTITUTE(番明[[#This Row],[ご請求番号]],"-",""))</f>
        <v/>
      </c>
      <c r="F276" t="str">
        <f>keiyakuid264&amp;""</f>
        <v/>
      </c>
      <c r="G276">
        <f>IF(companyyn264="既存コードに追加",1,0)</f>
        <v>0</v>
      </c>
      <c r="H276" t="str">
        <f>companycode264&amp;""</f>
        <v/>
      </c>
      <c r="I276" t="str">
        <f>IF(accelikkatsu264="","希望しない",accelikkatsu264)</f>
        <v>希望しない</v>
      </c>
      <c r="J276" t="str">
        <f>IF(belugabunyn264="","なし",belugabunyn264)</f>
        <v>なし</v>
      </c>
      <c r="K276" t="str">
        <f>belugabun264&amp;""</f>
        <v/>
      </c>
      <c r="L276" t="b">
        <f>shutoku264</f>
        <v>0</v>
      </c>
    </row>
    <row r="277" spans="1:12">
      <c r="A277">
        <v>265</v>
      </c>
      <c r="B277" t="str">
        <f>IF(moushikubun265="","追加",moushikubun265)</f>
        <v>追加</v>
      </c>
      <c r="C277" t="str">
        <f>shubetsu265&amp;""</f>
        <v/>
      </c>
      <c r="D277" t="str">
        <f>billid265&amp;""</f>
        <v/>
      </c>
      <c r="E277" t="str">
        <f>UPPER(SUBSTITUTE(番明[[#This Row],[ご請求番号]],"-",""))</f>
        <v/>
      </c>
      <c r="F277" t="str">
        <f>keiyakuid265&amp;""</f>
        <v/>
      </c>
      <c r="G277">
        <f>IF(companyyn265="既存コードに追加",1,0)</f>
        <v>0</v>
      </c>
      <c r="H277" t="str">
        <f>companycode265&amp;""</f>
        <v/>
      </c>
      <c r="I277" t="str">
        <f>IF(accelikkatsu265="","希望しない",accelikkatsu265)</f>
        <v>希望しない</v>
      </c>
      <c r="J277" t="str">
        <f>IF(belugabunyn265="","なし",belugabunyn265)</f>
        <v>なし</v>
      </c>
      <c r="K277" t="str">
        <f>belugabun265&amp;""</f>
        <v/>
      </c>
      <c r="L277" t="b">
        <f>shutoku265</f>
        <v>0</v>
      </c>
    </row>
    <row r="278" spans="1:12">
      <c r="A278">
        <v>266</v>
      </c>
      <c r="B278" t="str">
        <f>IF(moushikubun266="","追加",moushikubun266)</f>
        <v>追加</v>
      </c>
      <c r="C278" t="str">
        <f>shubetsu266&amp;""</f>
        <v/>
      </c>
      <c r="D278" t="str">
        <f>billid266&amp;""</f>
        <v/>
      </c>
      <c r="E278" t="str">
        <f>UPPER(SUBSTITUTE(番明[[#This Row],[ご請求番号]],"-",""))</f>
        <v/>
      </c>
      <c r="F278" t="str">
        <f>keiyakuid266&amp;""</f>
        <v/>
      </c>
      <c r="G278">
        <f>IF(companyyn266="既存コードに追加",1,0)</f>
        <v>0</v>
      </c>
      <c r="H278" t="str">
        <f>companycode266&amp;""</f>
        <v/>
      </c>
      <c r="I278" t="str">
        <f>IF(accelikkatsu266="","希望しない",accelikkatsu266)</f>
        <v>希望しない</v>
      </c>
      <c r="J278" t="str">
        <f>IF(belugabunyn266="","なし",belugabunyn266)</f>
        <v>なし</v>
      </c>
      <c r="K278" t="str">
        <f>belugabun266&amp;""</f>
        <v/>
      </c>
      <c r="L278" t="b">
        <f>shutoku266</f>
        <v>0</v>
      </c>
    </row>
    <row r="279" spans="1:12">
      <c r="A279">
        <v>267</v>
      </c>
      <c r="B279" t="str">
        <f>IF(moushikubun267="","追加",moushikubun267)</f>
        <v>追加</v>
      </c>
      <c r="C279" t="str">
        <f>shubetsu267&amp;""</f>
        <v/>
      </c>
      <c r="D279" t="str">
        <f>billid267&amp;""</f>
        <v/>
      </c>
      <c r="E279" t="str">
        <f>UPPER(SUBSTITUTE(番明[[#This Row],[ご請求番号]],"-",""))</f>
        <v/>
      </c>
      <c r="F279" t="str">
        <f>keiyakuid267&amp;""</f>
        <v/>
      </c>
      <c r="G279">
        <f>IF(companyyn267="既存コードに追加",1,0)</f>
        <v>0</v>
      </c>
      <c r="H279" t="str">
        <f>companycode267&amp;""</f>
        <v/>
      </c>
      <c r="I279" t="str">
        <f>IF(accelikkatsu267="","希望しない",accelikkatsu267)</f>
        <v>希望しない</v>
      </c>
      <c r="J279" t="str">
        <f>IF(belugabunyn267="","なし",belugabunyn267)</f>
        <v>なし</v>
      </c>
      <c r="K279" t="str">
        <f>belugabun267&amp;""</f>
        <v/>
      </c>
      <c r="L279" t="b">
        <f>shutoku267</f>
        <v>0</v>
      </c>
    </row>
    <row r="280" spans="1:12">
      <c r="A280">
        <v>268</v>
      </c>
      <c r="B280" t="str">
        <f>IF(moushikubun268="","追加",moushikubun268)</f>
        <v>追加</v>
      </c>
      <c r="C280" t="str">
        <f>shubetsu268&amp;""</f>
        <v/>
      </c>
      <c r="D280" t="str">
        <f>billid268&amp;""</f>
        <v/>
      </c>
      <c r="E280" t="str">
        <f>UPPER(SUBSTITUTE(番明[[#This Row],[ご請求番号]],"-",""))</f>
        <v/>
      </c>
      <c r="F280" t="str">
        <f>keiyakuid268&amp;""</f>
        <v/>
      </c>
      <c r="G280">
        <f>IF(companyyn268="既存コードに追加",1,0)</f>
        <v>0</v>
      </c>
      <c r="H280" t="str">
        <f>companycode268&amp;""</f>
        <v/>
      </c>
      <c r="I280" t="str">
        <f>IF(accelikkatsu268="","希望しない",accelikkatsu268)</f>
        <v>希望しない</v>
      </c>
      <c r="J280" t="str">
        <f>IF(belugabunyn268="","なし",belugabunyn268)</f>
        <v>なし</v>
      </c>
      <c r="K280" t="str">
        <f>belugabun268&amp;""</f>
        <v/>
      </c>
      <c r="L280" t="b">
        <f>shutoku268</f>
        <v>0</v>
      </c>
    </row>
    <row r="281" spans="1:12">
      <c r="A281">
        <v>269</v>
      </c>
      <c r="B281" t="str">
        <f>IF(moushikubun269="","追加",moushikubun269)</f>
        <v>追加</v>
      </c>
      <c r="C281" t="str">
        <f>shubetsu269&amp;""</f>
        <v/>
      </c>
      <c r="D281" t="str">
        <f>billid269&amp;""</f>
        <v/>
      </c>
      <c r="E281" t="str">
        <f>UPPER(SUBSTITUTE(番明[[#This Row],[ご請求番号]],"-",""))</f>
        <v/>
      </c>
      <c r="F281" t="str">
        <f>keiyakuid269&amp;""</f>
        <v/>
      </c>
      <c r="G281">
        <f>IF(companyyn269="既存コードに追加",1,0)</f>
        <v>0</v>
      </c>
      <c r="H281" t="str">
        <f>companycode269&amp;""</f>
        <v/>
      </c>
      <c r="I281" t="str">
        <f>IF(accelikkatsu269="","希望しない",accelikkatsu269)</f>
        <v>希望しない</v>
      </c>
      <c r="J281" t="str">
        <f>IF(belugabunyn269="","なし",belugabunyn269)</f>
        <v>なし</v>
      </c>
      <c r="K281" t="str">
        <f>belugabun269&amp;""</f>
        <v/>
      </c>
      <c r="L281" t="b">
        <f>shutoku269</f>
        <v>0</v>
      </c>
    </row>
    <row r="282" spans="1:12">
      <c r="A282">
        <v>270</v>
      </c>
      <c r="B282" t="str">
        <f>IF(moushikubun270="","追加",moushikubun270)</f>
        <v>追加</v>
      </c>
      <c r="C282" t="str">
        <f>shubetsu270&amp;""</f>
        <v/>
      </c>
      <c r="D282" t="str">
        <f>billid270&amp;""</f>
        <v/>
      </c>
      <c r="E282" t="str">
        <f>UPPER(SUBSTITUTE(番明[[#This Row],[ご請求番号]],"-",""))</f>
        <v/>
      </c>
      <c r="F282" t="str">
        <f>keiyakuid270&amp;""</f>
        <v/>
      </c>
      <c r="G282">
        <f>IF(companyyn270="既存コードに追加",1,0)</f>
        <v>0</v>
      </c>
      <c r="H282" t="str">
        <f>companycode270&amp;""</f>
        <v/>
      </c>
      <c r="I282" t="str">
        <f>IF(accelikkatsu270="","希望しない",accelikkatsu270)</f>
        <v>希望しない</v>
      </c>
      <c r="J282" t="str">
        <f>IF(belugabunyn270="","なし",belugabunyn270)</f>
        <v>なし</v>
      </c>
      <c r="K282" t="str">
        <f>belugabun270&amp;""</f>
        <v/>
      </c>
      <c r="L282" t="b">
        <f>shutoku270</f>
        <v>0</v>
      </c>
    </row>
    <row r="283" spans="1:12">
      <c r="A283">
        <v>271</v>
      </c>
      <c r="B283" t="str">
        <f>IF(moushikubun271="","追加",moushikubun271)</f>
        <v>追加</v>
      </c>
      <c r="C283" t="str">
        <f>shubetsu271&amp;""</f>
        <v/>
      </c>
      <c r="D283" t="str">
        <f>billid271&amp;""</f>
        <v/>
      </c>
      <c r="E283" t="str">
        <f>UPPER(SUBSTITUTE(番明[[#This Row],[ご請求番号]],"-",""))</f>
        <v/>
      </c>
      <c r="F283" t="str">
        <f>keiyakuid271&amp;""</f>
        <v/>
      </c>
      <c r="G283">
        <f>IF(companyyn271="既存コードに追加",1,0)</f>
        <v>0</v>
      </c>
      <c r="H283" t="str">
        <f>companycode271&amp;""</f>
        <v/>
      </c>
      <c r="I283" t="str">
        <f>IF(accelikkatsu271="","希望しない",accelikkatsu271)</f>
        <v>希望しない</v>
      </c>
      <c r="J283" t="str">
        <f>IF(belugabunyn271="","なし",belugabunyn271)</f>
        <v>なし</v>
      </c>
      <c r="K283" t="str">
        <f>belugabun271&amp;""</f>
        <v/>
      </c>
      <c r="L283" t="b">
        <f>shutoku271</f>
        <v>0</v>
      </c>
    </row>
    <row r="284" spans="1:12">
      <c r="A284">
        <v>272</v>
      </c>
      <c r="B284" t="str">
        <f>IF(moushikubun272="","追加",moushikubun272)</f>
        <v>追加</v>
      </c>
      <c r="C284" t="str">
        <f>shubetsu272&amp;""</f>
        <v/>
      </c>
      <c r="D284" t="str">
        <f>billid272&amp;""</f>
        <v/>
      </c>
      <c r="E284" t="str">
        <f>UPPER(SUBSTITUTE(番明[[#This Row],[ご請求番号]],"-",""))</f>
        <v/>
      </c>
      <c r="F284" t="str">
        <f>keiyakuid272&amp;""</f>
        <v/>
      </c>
      <c r="G284">
        <f>IF(companyyn272="既存コードに追加",1,0)</f>
        <v>0</v>
      </c>
      <c r="H284" t="str">
        <f>companycode272&amp;""</f>
        <v/>
      </c>
      <c r="I284" t="str">
        <f>IF(accelikkatsu272="","希望しない",accelikkatsu272)</f>
        <v>希望しない</v>
      </c>
      <c r="J284" t="str">
        <f>IF(belugabunyn272="","なし",belugabunyn272)</f>
        <v>なし</v>
      </c>
      <c r="K284" t="str">
        <f>belugabun272&amp;""</f>
        <v/>
      </c>
      <c r="L284" t="b">
        <f>shutoku272</f>
        <v>0</v>
      </c>
    </row>
    <row r="285" spans="1:12">
      <c r="A285">
        <v>273</v>
      </c>
      <c r="B285" t="str">
        <f>IF(moushikubun273="","追加",moushikubun273)</f>
        <v>追加</v>
      </c>
      <c r="C285" t="str">
        <f>shubetsu273&amp;""</f>
        <v/>
      </c>
      <c r="D285" t="str">
        <f>billid273&amp;""</f>
        <v/>
      </c>
      <c r="E285" t="str">
        <f>UPPER(SUBSTITUTE(番明[[#This Row],[ご請求番号]],"-",""))</f>
        <v/>
      </c>
      <c r="F285" t="str">
        <f>keiyakuid273&amp;""</f>
        <v/>
      </c>
      <c r="G285">
        <f>IF(companyyn273="既存コードに追加",1,0)</f>
        <v>0</v>
      </c>
      <c r="H285" t="str">
        <f>companycode273&amp;""</f>
        <v/>
      </c>
      <c r="I285" t="str">
        <f>IF(accelikkatsu273="","希望しない",accelikkatsu273)</f>
        <v>希望しない</v>
      </c>
      <c r="J285" t="str">
        <f>IF(belugabunyn273="","なし",belugabunyn273)</f>
        <v>なし</v>
      </c>
      <c r="K285" t="str">
        <f>belugabun273&amp;""</f>
        <v/>
      </c>
      <c r="L285" t="b">
        <f>shutoku273</f>
        <v>0</v>
      </c>
    </row>
    <row r="286" spans="1:12">
      <c r="A286">
        <v>274</v>
      </c>
      <c r="B286" t="str">
        <f>IF(moushikubun274="","追加",moushikubun274)</f>
        <v>追加</v>
      </c>
      <c r="C286" t="str">
        <f>shubetsu274&amp;""</f>
        <v/>
      </c>
      <c r="D286" t="str">
        <f>billid274&amp;""</f>
        <v/>
      </c>
      <c r="E286" t="str">
        <f>UPPER(SUBSTITUTE(番明[[#This Row],[ご請求番号]],"-",""))</f>
        <v/>
      </c>
      <c r="F286" t="str">
        <f>keiyakuid274&amp;""</f>
        <v/>
      </c>
      <c r="G286">
        <f>IF(companyyn274="既存コードに追加",1,0)</f>
        <v>0</v>
      </c>
      <c r="H286" t="str">
        <f>companycode274&amp;""</f>
        <v/>
      </c>
      <c r="I286" t="str">
        <f>IF(accelikkatsu274="","希望しない",accelikkatsu274)</f>
        <v>希望しない</v>
      </c>
      <c r="J286" t="str">
        <f>IF(belugabunyn274="","なし",belugabunyn274)</f>
        <v>なし</v>
      </c>
      <c r="K286" t="str">
        <f>belugabun274&amp;""</f>
        <v/>
      </c>
      <c r="L286" t="b">
        <f>shutoku274</f>
        <v>0</v>
      </c>
    </row>
    <row r="287" spans="1:12">
      <c r="A287">
        <v>275</v>
      </c>
      <c r="B287" t="str">
        <f>IF(moushikubun275="","追加",moushikubun275)</f>
        <v>追加</v>
      </c>
      <c r="C287" t="str">
        <f>shubetsu275&amp;""</f>
        <v/>
      </c>
      <c r="D287" t="str">
        <f>billid275&amp;""</f>
        <v/>
      </c>
      <c r="E287" t="str">
        <f>UPPER(SUBSTITUTE(番明[[#This Row],[ご請求番号]],"-",""))</f>
        <v/>
      </c>
      <c r="F287" t="str">
        <f>keiyakuid275&amp;""</f>
        <v/>
      </c>
      <c r="G287">
        <f>IF(companyyn275="既存コードに追加",1,0)</f>
        <v>0</v>
      </c>
      <c r="H287" t="str">
        <f>companycode275&amp;""</f>
        <v/>
      </c>
      <c r="I287" t="str">
        <f>IF(accelikkatsu275="","希望しない",accelikkatsu275)</f>
        <v>希望しない</v>
      </c>
      <c r="J287" t="str">
        <f>IF(belugabunyn275="","なし",belugabunyn275)</f>
        <v>なし</v>
      </c>
      <c r="K287" t="str">
        <f>belugabun275&amp;""</f>
        <v/>
      </c>
      <c r="L287" t="b">
        <f>shutoku275</f>
        <v>0</v>
      </c>
    </row>
    <row r="288" spans="1:12">
      <c r="A288">
        <v>276</v>
      </c>
      <c r="B288" t="str">
        <f>IF(moushikubun276="","追加",moushikubun276)</f>
        <v>追加</v>
      </c>
      <c r="C288" t="str">
        <f>shubetsu276&amp;""</f>
        <v/>
      </c>
      <c r="D288" t="str">
        <f>billid276&amp;""</f>
        <v/>
      </c>
      <c r="E288" t="str">
        <f>UPPER(SUBSTITUTE(番明[[#This Row],[ご請求番号]],"-",""))</f>
        <v/>
      </c>
      <c r="F288" t="str">
        <f>keiyakuid276&amp;""</f>
        <v/>
      </c>
      <c r="G288">
        <f>IF(companyyn276="既存コードに追加",1,0)</f>
        <v>0</v>
      </c>
      <c r="H288" t="str">
        <f>companycode276&amp;""</f>
        <v/>
      </c>
      <c r="I288" t="str">
        <f>IF(accelikkatsu276="","希望しない",accelikkatsu276)</f>
        <v>希望しない</v>
      </c>
      <c r="J288" t="str">
        <f>IF(belugabunyn276="","なし",belugabunyn276)</f>
        <v>なし</v>
      </c>
      <c r="K288" t="str">
        <f>belugabun276&amp;""</f>
        <v/>
      </c>
      <c r="L288" t="b">
        <f>shutoku276</f>
        <v>0</v>
      </c>
    </row>
    <row r="289" spans="1:12">
      <c r="A289">
        <v>277</v>
      </c>
      <c r="B289" t="str">
        <f>IF(moushikubun277="","追加",moushikubun277)</f>
        <v>追加</v>
      </c>
      <c r="C289" t="str">
        <f>shubetsu277&amp;""</f>
        <v/>
      </c>
      <c r="D289" t="str">
        <f>billid277&amp;""</f>
        <v/>
      </c>
      <c r="E289" t="str">
        <f>UPPER(SUBSTITUTE(番明[[#This Row],[ご請求番号]],"-",""))</f>
        <v/>
      </c>
      <c r="F289" t="str">
        <f>keiyakuid277&amp;""</f>
        <v/>
      </c>
      <c r="G289">
        <f>IF(companyyn277="既存コードに追加",1,0)</f>
        <v>0</v>
      </c>
      <c r="H289" t="str">
        <f>companycode277&amp;""</f>
        <v/>
      </c>
      <c r="I289" t="str">
        <f>IF(accelikkatsu277="","希望しない",accelikkatsu277)</f>
        <v>希望しない</v>
      </c>
      <c r="J289" t="str">
        <f>IF(belugabunyn277="","なし",belugabunyn277)</f>
        <v>なし</v>
      </c>
      <c r="K289" t="str">
        <f>belugabun277&amp;""</f>
        <v/>
      </c>
      <c r="L289" t="b">
        <f>shutoku277</f>
        <v>0</v>
      </c>
    </row>
    <row r="290" spans="1:12">
      <c r="A290">
        <v>278</v>
      </c>
      <c r="B290" t="str">
        <f>IF(moushikubun278="","追加",moushikubun278)</f>
        <v>追加</v>
      </c>
      <c r="C290" t="str">
        <f>shubetsu278&amp;""</f>
        <v/>
      </c>
      <c r="D290" t="str">
        <f>billid278&amp;""</f>
        <v/>
      </c>
      <c r="E290" t="str">
        <f>UPPER(SUBSTITUTE(番明[[#This Row],[ご請求番号]],"-",""))</f>
        <v/>
      </c>
      <c r="F290" t="str">
        <f>keiyakuid278&amp;""</f>
        <v/>
      </c>
      <c r="G290">
        <f>IF(companyyn278="既存コードに追加",1,0)</f>
        <v>0</v>
      </c>
      <c r="H290" t="str">
        <f>companycode278&amp;""</f>
        <v/>
      </c>
      <c r="I290" t="str">
        <f>IF(accelikkatsu278="","希望しない",accelikkatsu278)</f>
        <v>希望しない</v>
      </c>
      <c r="J290" t="str">
        <f>IF(belugabunyn278="","なし",belugabunyn278)</f>
        <v>なし</v>
      </c>
      <c r="K290" t="str">
        <f>belugabun278&amp;""</f>
        <v/>
      </c>
      <c r="L290" t="b">
        <f>shutoku278</f>
        <v>0</v>
      </c>
    </row>
    <row r="291" spans="1:12">
      <c r="A291">
        <v>279</v>
      </c>
      <c r="B291" t="str">
        <f>IF(moushikubun279="","追加",moushikubun279)</f>
        <v>追加</v>
      </c>
      <c r="C291" t="str">
        <f>shubetsu279&amp;""</f>
        <v/>
      </c>
      <c r="D291" t="str">
        <f>billid279&amp;""</f>
        <v/>
      </c>
      <c r="E291" t="str">
        <f>UPPER(SUBSTITUTE(番明[[#This Row],[ご請求番号]],"-",""))</f>
        <v/>
      </c>
      <c r="F291" t="str">
        <f>keiyakuid279&amp;""</f>
        <v/>
      </c>
      <c r="G291">
        <f>IF(companyyn279="既存コードに追加",1,0)</f>
        <v>0</v>
      </c>
      <c r="H291" t="str">
        <f>companycode279&amp;""</f>
        <v/>
      </c>
      <c r="I291" t="str">
        <f>IF(accelikkatsu279="","希望しない",accelikkatsu279)</f>
        <v>希望しない</v>
      </c>
      <c r="J291" t="str">
        <f>IF(belugabunyn279="","なし",belugabunyn279)</f>
        <v>なし</v>
      </c>
      <c r="K291" t="str">
        <f>belugabun279&amp;""</f>
        <v/>
      </c>
      <c r="L291" t="b">
        <f>shutoku279</f>
        <v>0</v>
      </c>
    </row>
    <row r="292" spans="1:12">
      <c r="A292">
        <v>280</v>
      </c>
      <c r="B292" t="str">
        <f>IF(moushikubun280="","追加",moushikubun280)</f>
        <v>追加</v>
      </c>
      <c r="C292" t="str">
        <f>shubetsu280&amp;""</f>
        <v/>
      </c>
      <c r="D292" t="str">
        <f>billid280&amp;""</f>
        <v/>
      </c>
      <c r="E292" t="str">
        <f>UPPER(SUBSTITUTE(番明[[#This Row],[ご請求番号]],"-",""))</f>
        <v/>
      </c>
      <c r="F292" t="str">
        <f>keiyakuid280&amp;""</f>
        <v/>
      </c>
      <c r="G292">
        <f>IF(companyyn280="既存コードに追加",1,0)</f>
        <v>0</v>
      </c>
      <c r="H292" t="str">
        <f>companycode280&amp;""</f>
        <v/>
      </c>
      <c r="I292" t="str">
        <f>IF(accelikkatsu280="","希望しない",accelikkatsu280)</f>
        <v>希望しない</v>
      </c>
      <c r="J292" t="str">
        <f>IF(belugabunyn280="","なし",belugabunyn280)</f>
        <v>なし</v>
      </c>
      <c r="K292" t="str">
        <f>belugabun280&amp;""</f>
        <v/>
      </c>
      <c r="L292" t="b">
        <f>shutoku280</f>
        <v>0</v>
      </c>
    </row>
    <row r="293" spans="1:12">
      <c r="A293">
        <v>281</v>
      </c>
      <c r="B293" t="str">
        <f>IF(moushikubun281="","追加",moushikubun281)</f>
        <v>追加</v>
      </c>
      <c r="C293" t="str">
        <f>shubetsu281&amp;""</f>
        <v/>
      </c>
      <c r="D293" t="str">
        <f>billid281&amp;""</f>
        <v/>
      </c>
      <c r="E293" t="str">
        <f>UPPER(SUBSTITUTE(番明[[#This Row],[ご請求番号]],"-",""))</f>
        <v/>
      </c>
      <c r="F293" t="str">
        <f>keiyakuid281&amp;""</f>
        <v/>
      </c>
      <c r="G293">
        <f>IF(companyyn281="既存コードに追加",1,0)</f>
        <v>0</v>
      </c>
      <c r="H293" t="str">
        <f>companycode281&amp;""</f>
        <v/>
      </c>
      <c r="I293" t="str">
        <f>IF(accelikkatsu281="","希望しない",accelikkatsu281)</f>
        <v>希望しない</v>
      </c>
      <c r="J293" t="str">
        <f>IF(belugabunyn281="","なし",belugabunyn281)</f>
        <v>なし</v>
      </c>
      <c r="K293" t="str">
        <f>belugabun281&amp;""</f>
        <v/>
      </c>
      <c r="L293" t="b">
        <f>shutoku281</f>
        <v>0</v>
      </c>
    </row>
    <row r="294" spans="1:12">
      <c r="A294">
        <v>282</v>
      </c>
      <c r="B294" t="str">
        <f>IF(moushikubun282="","追加",moushikubun282)</f>
        <v>追加</v>
      </c>
      <c r="C294" t="str">
        <f>shubetsu282&amp;""</f>
        <v/>
      </c>
      <c r="D294" t="str">
        <f>billid282&amp;""</f>
        <v/>
      </c>
      <c r="E294" t="str">
        <f>UPPER(SUBSTITUTE(番明[[#This Row],[ご請求番号]],"-",""))</f>
        <v/>
      </c>
      <c r="F294" t="str">
        <f>keiyakuid282&amp;""</f>
        <v/>
      </c>
      <c r="G294">
        <f>IF(companyyn282="既存コードに追加",1,0)</f>
        <v>0</v>
      </c>
      <c r="H294" t="str">
        <f>companycode282&amp;""</f>
        <v/>
      </c>
      <c r="I294" t="str">
        <f>IF(accelikkatsu282="","希望しない",accelikkatsu282)</f>
        <v>希望しない</v>
      </c>
      <c r="J294" t="str">
        <f>IF(belugabunyn282="","なし",belugabunyn282)</f>
        <v>なし</v>
      </c>
      <c r="K294" t="str">
        <f>belugabun282&amp;""</f>
        <v/>
      </c>
      <c r="L294" t="b">
        <f>shutoku282</f>
        <v>0</v>
      </c>
    </row>
    <row r="295" spans="1:12">
      <c r="A295">
        <v>283</v>
      </c>
      <c r="B295" t="str">
        <f>IF(moushikubun283="","追加",moushikubun283)</f>
        <v>追加</v>
      </c>
      <c r="C295" t="str">
        <f>shubetsu283&amp;""</f>
        <v/>
      </c>
      <c r="D295" t="str">
        <f>billid283&amp;""</f>
        <v/>
      </c>
      <c r="E295" t="str">
        <f>UPPER(SUBSTITUTE(番明[[#This Row],[ご請求番号]],"-",""))</f>
        <v/>
      </c>
      <c r="F295" t="str">
        <f>keiyakuid283&amp;""</f>
        <v/>
      </c>
      <c r="G295">
        <f>IF(companyyn283="既存コードに追加",1,0)</f>
        <v>0</v>
      </c>
      <c r="H295" t="str">
        <f>companycode283&amp;""</f>
        <v/>
      </c>
      <c r="I295" t="str">
        <f>IF(accelikkatsu283="","希望しない",accelikkatsu283)</f>
        <v>希望しない</v>
      </c>
      <c r="J295" t="str">
        <f>IF(belugabunyn283="","なし",belugabunyn283)</f>
        <v>なし</v>
      </c>
      <c r="K295" t="str">
        <f>belugabun283&amp;""</f>
        <v/>
      </c>
      <c r="L295" t="b">
        <f>shutoku283</f>
        <v>0</v>
      </c>
    </row>
    <row r="296" spans="1:12">
      <c r="A296">
        <v>284</v>
      </c>
      <c r="B296" t="str">
        <f>IF(moushikubun284="","追加",moushikubun284)</f>
        <v>追加</v>
      </c>
      <c r="C296" t="str">
        <f>shubetsu284&amp;""</f>
        <v/>
      </c>
      <c r="D296" t="str">
        <f>billid284&amp;""</f>
        <v/>
      </c>
      <c r="E296" t="str">
        <f>UPPER(SUBSTITUTE(番明[[#This Row],[ご請求番号]],"-",""))</f>
        <v/>
      </c>
      <c r="F296" t="str">
        <f>keiyakuid284&amp;""</f>
        <v/>
      </c>
      <c r="G296">
        <f>IF(companyyn284="既存コードに追加",1,0)</f>
        <v>0</v>
      </c>
      <c r="H296" t="str">
        <f>companycode284&amp;""</f>
        <v/>
      </c>
      <c r="I296" t="str">
        <f>IF(accelikkatsu284="","希望しない",accelikkatsu284)</f>
        <v>希望しない</v>
      </c>
      <c r="J296" t="str">
        <f>IF(belugabunyn284="","なし",belugabunyn284)</f>
        <v>なし</v>
      </c>
      <c r="K296" t="str">
        <f>belugabun284&amp;""</f>
        <v/>
      </c>
      <c r="L296" t="b">
        <f>shutoku284</f>
        <v>0</v>
      </c>
    </row>
    <row r="297" spans="1:12">
      <c r="A297">
        <v>285</v>
      </c>
      <c r="B297" t="str">
        <f>IF(moushikubun285="","追加",moushikubun285)</f>
        <v>追加</v>
      </c>
      <c r="C297" t="str">
        <f>shubetsu285&amp;""</f>
        <v/>
      </c>
      <c r="D297" t="str">
        <f>billid285&amp;""</f>
        <v/>
      </c>
      <c r="E297" t="str">
        <f>UPPER(SUBSTITUTE(番明[[#This Row],[ご請求番号]],"-",""))</f>
        <v/>
      </c>
      <c r="F297" t="str">
        <f>keiyakuid285&amp;""</f>
        <v/>
      </c>
      <c r="G297">
        <f>IF(companyyn285="既存コードに追加",1,0)</f>
        <v>0</v>
      </c>
      <c r="H297" t="str">
        <f>companycode285&amp;""</f>
        <v/>
      </c>
      <c r="I297" t="str">
        <f>IF(accelikkatsu285="","希望しない",accelikkatsu285)</f>
        <v>希望しない</v>
      </c>
      <c r="J297" t="str">
        <f>IF(belugabunyn285="","なし",belugabunyn285)</f>
        <v>なし</v>
      </c>
      <c r="K297" t="str">
        <f>belugabun285&amp;""</f>
        <v/>
      </c>
      <c r="L297" t="b">
        <f>shutoku285</f>
        <v>0</v>
      </c>
    </row>
    <row r="298" spans="1:12">
      <c r="A298">
        <v>286</v>
      </c>
      <c r="B298" t="str">
        <f>IF(moushikubun286="","追加",moushikubun286)</f>
        <v>追加</v>
      </c>
      <c r="C298" t="str">
        <f>shubetsu286&amp;""</f>
        <v/>
      </c>
      <c r="D298" t="str">
        <f>billid286&amp;""</f>
        <v/>
      </c>
      <c r="E298" t="str">
        <f>UPPER(SUBSTITUTE(番明[[#This Row],[ご請求番号]],"-",""))</f>
        <v/>
      </c>
      <c r="F298" t="str">
        <f>keiyakuid286&amp;""</f>
        <v/>
      </c>
      <c r="G298">
        <f>IF(companyyn286="既存コードに追加",1,0)</f>
        <v>0</v>
      </c>
      <c r="H298" t="str">
        <f>companycode286&amp;""</f>
        <v/>
      </c>
      <c r="I298" t="str">
        <f>IF(accelikkatsu286="","希望しない",accelikkatsu286)</f>
        <v>希望しない</v>
      </c>
      <c r="J298" t="str">
        <f>IF(belugabunyn286="","なし",belugabunyn286)</f>
        <v>なし</v>
      </c>
      <c r="K298" t="str">
        <f>belugabun286&amp;""</f>
        <v/>
      </c>
      <c r="L298" t="b">
        <f>shutoku286</f>
        <v>0</v>
      </c>
    </row>
    <row r="299" spans="1:12">
      <c r="A299">
        <v>287</v>
      </c>
      <c r="B299" t="str">
        <f>IF(moushikubun287="","追加",moushikubun287)</f>
        <v>追加</v>
      </c>
      <c r="C299" t="str">
        <f>shubetsu287&amp;""</f>
        <v/>
      </c>
      <c r="D299" t="str">
        <f>billid287&amp;""</f>
        <v/>
      </c>
      <c r="E299" t="str">
        <f>UPPER(SUBSTITUTE(番明[[#This Row],[ご請求番号]],"-",""))</f>
        <v/>
      </c>
      <c r="F299" t="str">
        <f>keiyakuid287&amp;""</f>
        <v/>
      </c>
      <c r="G299">
        <f>IF(companyyn287="既存コードに追加",1,0)</f>
        <v>0</v>
      </c>
      <c r="H299" t="str">
        <f>companycode287&amp;""</f>
        <v/>
      </c>
      <c r="I299" t="str">
        <f>IF(accelikkatsu287="","希望しない",accelikkatsu287)</f>
        <v>希望しない</v>
      </c>
      <c r="J299" t="str">
        <f>IF(belugabunyn287="","なし",belugabunyn287)</f>
        <v>なし</v>
      </c>
      <c r="K299" t="str">
        <f>belugabun287&amp;""</f>
        <v/>
      </c>
      <c r="L299" t="b">
        <f>shutoku287</f>
        <v>0</v>
      </c>
    </row>
    <row r="300" spans="1:12">
      <c r="A300">
        <v>288</v>
      </c>
      <c r="B300" t="str">
        <f>IF(moushikubun288="","追加",moushikubun288)</f>
        <v>追加</v>
      </c>
      <c r="C300" t="str">
        <f>shubetsu288&amp;""</f>
        <v/>
      </c>
      <c r="D300" t="str">
        <f>billid288&amp;""</f>
        <v/>
      </c>
      <c r="E300" t="str">
        <f>UPPER(SUBSTITUTE(番明[[#This Row],[ご請求番号]],"-",""))</f>
        <v/>
      </c>
      <c r="F300" t="str">
        <f>keiyakuid288&amp;""</f>
        <v/>
      </c>
      <c r="G300">
        <f>IF(companyyn288="既存コードに追加",1,0)</f>
        <v>0</v>
      </c>
      <c r="H300" t="str">
        <f>companycode288&amp;""</f>
        <v/>
      </c>
      <c r="I300" t="str">
        <f>IF(accelikkatsu288="","希望しない",accelikkatsu288)</f>
        <v>希望しない</v>
      </c>
      <c r="J300" t="str">
        <f>IF(belugabunyn288="","なし",belugabunyn288)</f>
        <v>なし</v>
      </c>
      <c r="K300" t="str">
        <f>belugabun288&amp;""</f>
        <v/>
      </c>
      <c r="L300" t="b">
        <f>shutoku288</f>
        <v>0</v>
      </c>
    </row>
    <row r="301" spans="1:12">
      <c r="A301">
        <v>289</v>
      </c>
      <c r="B301" t="str">
        <f>IF(moushikubun289="","追加",moushikubun289)</f>
        <v>追加</v>
      </c>
      <c r="C301" t="str">
        <f>shubetsu289&amp;""</f>
        <v/>
      </c>
      <c r="D301" t="str">
        <f>billid289&amp;""</f>
        <v/>
      </c>
      <c r="E301" t="str">
        <f>UPPER(SUBSTITUTE(番明[[#This Row],[ご請求番号]],"-",""))</f>
        <v/>
      </c>
      <c r="F301" t="str">
        <f>keiyakuid289&amp;""</f>
        <v/>
      </c>
      <c r="G301">
        <f>IF(companyyn289="既存コードに追加",1,0)</f>
        <v>0</v>
      </c>
      <c r="H301" t="str">
        <f>companycode289&amp;""</f>
        <v/>
      </c>
      <c r="I301" t="str">
        <f>IF(accelikkatsu289="","希望しない",accelikkatsu289)</f>
        <v>希望しない</v>
      </c>
      <c r="J301" t="str">
        <f>IF(belugabunyn289="","なし",belugabunyn289)</f>
        <v>なし</v>
      </c>
      <c r="K301" t="str">
        <f>belugabun289&amp;""</f>
        <v/>
      </c>
      <c r="L301" t="b">
        <f>shutoku289</f>
        <v>0</v>
      </c>
    </row>
    <row r="302" spans="1:12">
      <c r="A302">
        <v>290</v>
      </c>
      <c r="B302" t="str">
        <f>IF(moushikubun290="","追加",moushikubun290)</f>
        <v>追加</v>
      </c>
      <c r="C302" t="str">
        <f>shubetsu290&amp;""</f>
        <v/>
      </c>
      <c r="D302" t="str">
        <f>billid290&amp;""</f>
        <v/>
      </c>
      <c r="E302" t="str">
        <f>UPPER(SUBSTITUTE(番明[[#This Row],[ご請求番号]],"-",""))</f>
        <v/>
      </c>
      <c r="F302" t="str">
        <f>keiyakuid290&amp;""</f>
        <v/>
      </c>
      <c r="G302">
        <f>IF(companyyn290="既存コードに追加",1,0)</f>
        <v>0</v>
      </c>
      <c r="H302" t="str">
        <f>companycode290&amp;""</f>
        <v/>
      </c>
      <c r="I302" t="str">
        <f>IF(accelikkatsu290="","希望しない",accelikkatsu290)</f>
        <v>希望しない</v>
      </c>
      <c r="J302" t="str">
        <f>IF(belugabunyn290="","なし",belugabunyn290)</f>
        <v>なし</v>
      </c>
      <c r="K302" t="str">
        <f>belugabun290&amp;""</f>
        <v/>
      </c>
      <c r="L302" t="b">
        <f>shutoku290</f>
        <v>0</v>
      </c>
    </row>
    <row r="303" spans="1:12">
      <c r="A303">
        <v>291</v>
      </c>
      <c r="B303" t="str">
        <f>IF(moushikubun291="","追加",moushikubun291)</f>
        <v>追加</v>
      </c>
      <c r="C303" t="str">
        <f>shubetsu291&amp;""</f>
        <v/>
      </c>
      <c r="D303" t="str">
        <f>billid291&amp;""</f>
        <v/>
      </c>
      <c r="E303" t="str">
        <f>UPPER(SUBSTITUTE(番明[[#This Row],[ご請求番号]],"-",""))</f>
        <v/>
      </c>
      <c r="F303" t="str">
        <f>keiyakuid291&amp;""</f>
        <v/>
      </c>
      <c r="G303">
        <f>IF(companyyn291="既存コードに追加",1,0)</f>
        <v>0</v>
      </c>
      <c r="H303" t="str">
        <f>companycode291&amp;""</f>
        <v/>
      </c>
      <c r="I303" t="str">
        <f>IF(accelikkatsu291="","希望しない",accelikkatsu291)</f>
        <v>希望しない</v>
      </c>
      <c r="J303" t="str">
        <f>IF(belugabunyn291="","なし",belugabunyn291)</f>
        <v>なし</v>
      </c>
      <c r="K303" t="str">
        <f>belugabun291&amp;""</f>
        <v/>
      </c>
      <c r="L303" t="b">
        <f>shutoku291</f>
        <v>0</v>
      </c>
    </row>
    <row r="304" spans="1:12">
      <c r="A304">
        <v>292</v>
      </c>
      <c r="B304" t="str">
        <f>IF(moushikubun292="","追加",moushikubun292)</f>
        <v>追加</v>
      </c>
      <c r="C304" t="str">
        <f>shubetsu292&amp;""</f>
        <v/>
      </c>
      <c r="D304" t="str">
        <f>billid292&amp;""</f>
        <v/>
      </c>
      <c r="E304" t="str">
        <f>UPPER(SUBSTITUTE(番明[[#This Row],[ご請求番号]],"-",""))</f>
        <v/>
      </c>
      <c r="F304" t="str">
        <f>keiyakuid292&amp;""</f>
        <v/>
      </c>
      <c r="G304">
        <f>IF(companyyn292="既存コードに追加",1,0)</f>
        <v>0</v>
      </c>
      <c r="H304" t="str">
        <f>companycode292&amp;""</f>
        <v/>
      </c>
      <c r="I304" t="str">
        <f>IF(accelikkatsu292="","希望しない",accelikkatsu292)</f>
        <v>希望しない</v>
      </c>
      <c r="J304" t="str">
        <f>IF(belugabunyn292="","なし",belugabunyn292)</f>
        <v>なし</v>
      </c>
      <c r="K304" t="str">
        <f>belugabun292&amp;""</f>
        <v/>
      </c>
      <c r="L304" t="b">
        <f>shutoku292</f>
        <v>0</v>
      </c>
    </row>
    <row r="305" spans="1:12">
      <c r="A305">
        <v>293</v>
      </c>
      <c r="B305" t="str">
        <f>IF(moushikubun293="","追加",moushikubun293)</f>
        <v>追加</v>
      </c>
      <c r="C305" t="str">
        <f>shubetsu293&amp;""</f>
        <v/>
      </c>
      <c r="D305" t="str">
        <f>billid293&amp;""</f>
        <v/>
      </c>
      <c r="E305" t="str">
        <f>UPPER(SUBSTITUTE(番明[[#This Row],[ご請求番号]],"-",""))</f>
        <v/>
      </c>
      <c r="F305" t="str">
        <f>keiyakuid293&amp;""</f>
        <v/>
      </c>
      <c r="G305">
        <f>IF(companyyn293="既存コードに追加",1,0)</f>
        <v>0</v>
      </c>
      <c r="H305" t="str">
        <f>companycode293&amp;""</f>
        <v/>
      </c>
      <c r="I305" t="str">
        <f>IF(accelikkatsu293="","希望しない",accelikkatsu293)</f>
        <v>希望しない</v>
      </c>
      <c r="J305" t="str">
        <f>IF(belugabunyn293="","なし",belugabunyn293)</f>
        <v>なし</v>
      </c>
      <c r="K305" t="str">
        <f>belugabun293&amp;""</f>
        <v/>
      </c>
      <c r="L305" t="b">
        <f>shutoku293</f>
        <v>0</v>
      </c>
    </row>
    <row r="306" spans="1:12">
      <c r="A306">
        <v>294</v>
      </c>
      <c r="B306" t="str">
        <f>IF(moushikubun294="","追加",moushikubun294)</f>
        <v>追加</v>
      </c>
      <c r="C306" t="str">
        <f>shubetsu294&amp;""</f>
        <v/>
      </c>
      <c r="D306" t="str">
        <f>billid294&amp;""</f>
        <v/>
      </c>
      <c r="E306" t="str">
        <f>UPPER(SUBSTITUTE(番明[[#This Row],[ご請求番号]],"-",""))</f>
        <v/>
      </c>
      <c r="F306" t="str">
        <f>keiyakuid294&amp;""</f>
        <v/>
      </c>
      <c r="G306">
        <f>IF(companyyn294="既存コードに追加",1,0)</f>
        <v>0</v>
      </c>
      <c r="H306" t="str">
        <f>companycode294&amp;""</f>
        <v/>
      </c>
      <c r="I306" t="str">
        <f>IF(accelikkatsu294="","希望しない",accelikkatsu294)</f>
        <v>希望しない</v>
      </c>
      <c r="J306" t="str">
        <f>IF(belugabunyn294="","なし",belugabunyn294)</f>
        <v>なし</v>
      </c>
      <c r="K306" t="str">
        <f>belugabun294&amp;""</f>
        <v/>
      </c>
      <c r="L306" t="b">
        <f>shutoku294</f>
        <v>0</v>
      </c>
    </row>
    <row r="307" spans="1:12">
      <c r="A307">
        <v>295</v>
      </c>
      <c r="B307" t="str">
        <f>IF(moushikubun295="","追加",moushikubun295)</f>
        <v>追加</v>
      </c>
      <c r="C307" t="str">
        <f>shubetsu295&amp;""</f>
        <v/>
      </c>
      <c r="D307" t="str">
        <f>billid295&amp;""</f>
        <v/>
      </c>
      <c r="E307" t="str">
        <f>UPPER(SUBSTITUTE(番明[[#This Row],[ご請求番号]],"-",""))</f>
        <v/>
      </c>
      <c r="F307" t="str">
        <f>keiyakuid295&amp;""</f>
        <v/>
      </c>
      <c r="G307">
        <f>IF(companyyn295="既存コードに追加",1,0)</f>
        <v>0</v>
      </c>
      <c r="H307" t="str">
        <f>companycode295&amp;""</f>
        <v/>
      </c>
      <c r="I307" t="str">
        <f>IF(accelikkatsu295="","希望しない",accelikkatsu295)</f>
        <v>希望しない</v>
      </c>
      <c r="J307" t="str">
        <f>IF(belugabunyn295="","なし",belugabunyn295)</f>
        <v>なし</v>
      </c>
      <c r="K307" t="str">
        <f>belugabun295&amp;""</f>
        <v/>
      </c>
      <c r="L307" t="b">
        <f>shutoku295</f>
        <v>0</v>
      </c>
    </row>
    <row r="308" spans="1:12">
      <c r="A308">
        <v>296</v>
      </c>
      <c r="B308" t="str">
        <f>IF(moushikubun296="","追加",moushikubun296)</f>
        <v>追加</v>
      </c>
      <c r="C308" t="str">
        <f>shubetsu296&amp;""</f>
        <v/>
      </c>
      <c r="D308" t="str">
        <f>billid296&amp;""</f>
        <v/>
      </c>
      <c r="E308" t="str">
        <f>UPPER(SUBSTITUTE(番明[[#This Row],[ご請求番号]],"-",""))</f>
        <v/>
      </c>
      <c r="F308" t="str">
        <f>keiyakuid296&amp;""</f>
        <v/>
      </c>
      <c r="G308">
        <f>IF(companyyn296="既存コードに追加",1,0)</f>
        <v>0</v>
      </c>
      <c r="H308" t="str">
        <f>companycode296&amp;""</f>
        <v/>
      </c>
      <c r="I308" t="str">
        <f>IF(accelikkatsu296="","希望しない",accelikkatsu296)</f>
        <v>希望しない</v>
      </c>
      <c r="J308" t="str">
        <f>IF(belugabunyn296="","なし",belugabunyn296)</f>
        <v>なし</v>
      </c>
      <c r="K308" t="str">
        <f>belugabun296&amp;""</f>
        <v/>
      </c>
      <c r="L308" t="b">
        <f>shutoku296</f>
        <v>0</v>
      </c>
    </row>
    <row r="309" spans="1:12">
      <c r="A309">
        <v>297</v>
      </c>
      <c r="B309" t="str">
        <f>IF(moushikubun297="","追加",moushikubun297)</f>
        <v>追加</v>
      </c>
      <c r="C309" t="str">
        <f>shubetsu297&amp;""</f>
        <v/>
      </c>
      <c r="D309" t="str">
        <f>billid297&amp;""</f>
        <v/>
      </c>
      <c r="E309" t="str">
        <f>UPPER(SUBSTITUTE(番明[[#This Row],[ご請求番号]],"-",""))</f>
        <v/>
      </c>
      <c r="F309" t="str">
        <f>keiyakuid297&amp;""</f>
        <v/>
      </c>
      <c r="G309">
        <f>IF(companyyn297="既存コードに追加",1,0)</f>
        <v>0</v>
      </c>
      <c r="H309" t="str">
        <f>companycode297&amp;""</f>
        <v/>
      </c>
      <c r="I309" t="str">
        <f>IF(accelikkatsu297="","希望しない",accelikkatsu297)</f>
        <v>希望しない</v>
      </c>
      <c r="J309" t="str">
        <f>IF(belugabunyn297="","なし",belugabunyn297)</f>
        <v>なし</v>
      </c>
      <c r="K309" t="str">
        <f>belugabun297&amp;""</f>
        <v/>
      </c>
      <c r="L309" t="b">
        <f>shutoku297</f>
        <v>0</v>
      </c>
    </row>
    <row r="310" spans="1:12">
      <c r="A310">
        <v>298</v>
      </c>
      <c r="B310" t="str">
        <f>IF(moushikubun298="","追加",moushikubun298)</f>
        <v>追加</v>
      </c>
      <c r="C310" t="str">
        <f>shubetsu298&amp;""</f>
        <v/>
      </c>
      <c r="D310" t="str">
        <f>billid298&amp;""</f>
        <v/>
      </c>
      <c r="E310" t="str">
        <f>UPPER(SUBSTITUTE(番明[[#This Row],[ご請求番号]],"-",""))</f>
        <v/>
      </c>
      <c r="F310" t="str">
        <f>keiyakuid298&amp;""</f>
        <v/>
      </c>
      <c r="G310">
        <f>IF(companyyn298="既存コードに追加",1,0)</f>
        <v>0</v>
      </c>
      <c r="H310" t="str">
        <f>companycode298&amp;""</f>
        <v/>
      </c>
      <c r="I310" t="str">
        <f>IF(accelikkatsu298="","希望しない",accelikkatsu298)</f>
        <v>希望しない</v>
      </c>
      <c r="J310" t="str">
        <f>IF(belugabunyn298="","なし",belugabunyn298)</f>
        <v>なし</v>
      </c>
      <c r="K310" t="str">
        <f>belugabun298&amp;""</f>
        <v/>
      </c>
      <c r="L310" t="b">
        <f>shutoku298</f>
        <v>0</v>
      </c>
    </row>
    <row r="311" spans="1:12">
      <c r="A311">
        <v>299</v>
      </c>
      <c r="B311" t="str">
        <f>IF(moushikubun299="","追加",moushikubun299)</f>
        <v>追加</v>
      </c>
      <c r="C311" t="str">
        <f>shubetsu299&amp;""</f>
        <v/>
      </c>
      <c r="D311" t="str">
        <f>billid299&amp;""</f>
        <v/>
      </c>
      <c r="E311" t="str">
        <f>UPPER(SUBSTITUTE(番明[[#This Row],[ご請求番号]],"-",""))</f>
        <v/>
      </c>
      <c r="F311" t="str">
        <f>keiyakuid299&amp;""</f>
        <v/>
      </c>
      <c r="G311">
        <f>IF(companyyn299="既存コードに追加",1,0)</f>
        <v>0</v>
      </c>
      <c r="H311" t="str">
        <f>companycode299&amp;""</f>
        <v/>
      </c>
      <c r="I311" t="str">
        <f>IF(accelikkatsu299="","希望しない",accelikkatsu299)</f>
        <v>希望しない</v>
      </c>
      <c r="J311" t="str">
        <f>IF(belugabunyn299="","なし",belugabunyn299)</f>
        <v>なし</v>
      </c>
      <c r="K311" t="str">
        <f>belugabun299&amp;""</f>
        <v/>
      </c>
      <c r="L311" t="b">
        <f>shutoku299</f>
        <v>0</v>
      </c>
    </row>
    <row r="312" spans="1:12">
      <c r="A312">
        <v>300</v>
      </c>
      <c r="B312" t="str">
        <f>IF(moushikubun300="","追加",moushikubun300)</f>
        <v>追加</v>
      </c>
      <c r="C312" t="str">
        <f>shubetsu300&amp;""</f>
        <v/>
      </c>
      <c r="D312" t="str">
        <f>billid300&amp;""</f>
        <v/>
      </c>
      <c r="E312" t="str">
        <f>UPPER(SUBSTITUTE(番明[[#This Row],[ご請求番号]],"-",""))</f>
        <v/>
      </c>
      <c r="F312" t="str">
        <f>keiyakuid300&amp;""</f>
        <v/>
      </c>
      <c r="G312">
        <f>IF(companyyn300="既存コードに追加",1,0)</f>
        <v>0</v>
      </c>
      <c r="H312" t="str">
        <f>companycode300&amp;""</f>
        <v/>
      </c>
      <c r="I312" t="str">
        <f>IF(accelikkatsu300="","希望しない",accelikkatsu300)</f>
        <v>希望しない</v>
      </c>
      <c r="J312" t="str">
        <f>IF(belugabunyn300="","なし",belugabunyn300)</f>
        <v>なし</v>
      </c>
      <c r="K312" t="str">
        <f>belugabun300&amp;""</f>
        <v/>
      </c>
      <c r="L312" t="b">
        <f>shutoku300</f>
        <v>0</v>
      </c>
    </row>
    <row r="313" spans="1:12">
      <c r="A313">
        <v>301</v>
      </c>
      <c r="B313" t="str">
        <f>IF(moushikubun301="","追加",moushikubun301)</f>
        <v>追加</v>
      </c>
      <c r="C313" t="str">
        <f>shubetsu301&amp;""</f>
        <v/>
      </c>
      <c r="D313" t="str">
        <f>billid301&amp;""</f>
        <v/>
      </c>
      <c r="E313" t="str">
        <f>UPPER(SUBSTITUTE(番明[[#This Row],[ご請求番号]],"-",""))</f>
        <v/>
      </c>
      <c r="F313" t="str">
        <f>keiyakuid301&amp;""</f>
        <v/>
      </c>
      <c r="G313">
        <f>IF(companyyn301="既存コードに追加",1,0)</f>
        <v>0</v>
      </c>
      <c r="H313" t="str">
        <f>companycode301&amp;""</f>
        <v/>
      </c>
      <c r="I313" t="str">
        <f>IF(accelikkatsu301="","希望しない",accelikkatsu301)</f>
        <v>希望しない</v>
      </c>
      <c r="J313" t="str">
        <f>IF(belugabunyn301="","なし",belugabunyn301)</f>
        <v>なし</v>
      </c>
      <c r="K313" t="str">
        <f>belugabun301&amp;""</f>
        <v/>
      </c>
      <c r="L313" t="b">
        <f>shutoku301</f>
        <v>0</v>
      </c>
    </row>
    <row r="314" spans="1:12">
      <c r="A314">
        <v>302</v>
      </c>
      <c r="B314" t="str">
        <f>IF(moushikubun302="","追加",moushikubun302)</f>
        <v>追加</v>
      </c>
      <c r="C314" t="str">
        <f>shubetsu302&amp;""</f>
        <v/>
      </c>
      <c r="D314" t="str">
        <f>billid302&amp;""</f>
        <v/>
      </c>
      <c r="E314" t="str">
        <f>UPPER(SUBSTITUTE(番明[[#This Row],[ご請求番号]],"-",""))</f>
        <v/>
      </c>
      <c r="F314" t="str">
        <f>keiyakuid302&amp;""</f>
        <v/>
      </c>
      <c r="G314">
        <f>IF(companyyn302="既存コードに追加",1,0)</f>
        <v>0</v>
      </c>
      <c r="H314" t="str">
        <f>companycode302&amp;""</f>
        <v/>
      </c>
      <c r="I314" t="str">
        <f>IF(accelikkatsu302="","希望しない",accelikkatsu302)</f>
        <v>希望しない</v>
      </c>
      <c r="J314" t="str">
        <f>IF(belugabunyn302="","なし",belugabunyn302)</f>
        <v>なし</v>
      </c>
      <c r="K314" t="str">
        <f>belugabun302&amp;""</f>
        <v/>
      </c>
      <c r="L314" t="b">
        <f>shutoku302</f>
        <v>0</v>
      </c>
    </row>
    <row r="315" spans="1:12">
      <c r="A315">
        <v>303</v>
      </c>
      <c r="B315" t="str">
        <f>IF(moushikubun303="","追加",moushikubun303)</f>
        <v>追加</v>
      </c>
      <c r="C315" t="str">
        <f>shubetsu303&amp;""</f>
        <v/>
      </c>
      <c r="D315" t="str">
        <f>billid303&amp;""</f>
        <v/>
      </c>
      <c r="E315" t="str">
        <f>UPPER(SUBSTITUTE(番明[[#This Row],[ご請求番号]],"-",""))</f>
        <v/>
      </c>
      <c r="F315" t="str">
        <f>keiyakuid303&amp;""</f>
        <v/>
      </c>
      <c r="G315">
        <f>IF(companyyn303="既存コードに追加",1,0)</f>
        <v>0</v>
      </c>
      <c r="H315" t="str">
        <f>companycode303&amp;""</f>
        <v/>
      </c>
      <c r="I315" t="str">
        <f>IF(accelikkatsu303="","希望しない",accelikkatsu303)</f>
        <v>希望しない</v>
      </c>
      <c r="J315" t="str">
        <f>IF(belugabunyn303="","なし",belugabunyn303)</f>
        <v>なし</v>
      </c>
      <c r="K315" t="str">
        <f>belugabun303&amp;""</f>
        <v/>
      </c>
      <c r="L315" t="b">
        <f>shutoku303</f>
        <v>0</v>
      </c>
    </row>
    <row r="316" spans="1:12">
      <c r="A316">
        <v>304</v>
      </c>
      <c r="B316" t="str">
        <f>IF(moushikubun304="","追加",moushikubun304)</f>
        <v>追加</v>
      </c>
      <c r="C316" t="str">
        <f>shubetsu304&amp;""</f>
        <v/>
      </c>
      <c r="D316" t="str">
        <f>billid304&amp;""</f>
        <v/>
      </c>
      <c r="E316" t="str">
        <f>UPPER(SUBSTITUTE(番明[[#This Row],[ご請求番号]],"-",""))</f>
        <v/>
      </c>
      <c r="F316" t="str">
        <f>keiyakuid304&amp;""</f>
        <v/>
      </c>
      <c r="G316">
        <f>IF(companyyn304="既存コードに追加",1,0)</f>
        <v>0</v>
      </c>
      <c r="H316" t="str">
        <f>companycode304&amp;""</f>
        <v/>
      </c>
      <c r="I316" t="str">
        <f>IF(accelikkatsu304="","希望しない",accelikkatsu304)</f>
        <v>希望しない</v>
      </c>
      <c r="J316" t="str">
        <f>IF(belugabunyn304="","なし",belugabunyn304)</f>
        <v>なし</v>
      </c>
      <c r="K316" t="str">
        <f>belugabun304&amp;""</f>
        <v/>
      </c>
      <c r="L316" t="b">
        <f>shutoku304</f>
        <v>0</v>
      </c>
    </row>
    <row r="317" spans="1:12">
      <c r="A317">
        <v>305</v>
      </c>
      <c r="B317" t="str">
        <f>IF(moushikubun305="","追加",moushikubun305)</f>
        <v>追加</v>
      </c>
      <c r="C317" t="str">
        <f>shubetsu305&amp;""</f>
        <v/>
      </c>
      <c r="D317" t="str">
        <f>billid305&amp;""</f>
        <v/>
      </c>
      <c r="E317" t="str">
        <f>UPPER(SUBSTITUTE(番明[[#This Row],[ご請求番号]],"-",""))</f>
        <v/>
      </c>
      <c r="F317" t="str">
        <f>keiyakuid305&amp;""</f>
        <v/>
      </c>
      <c r="G317">
        <f>IF(companyyn305="既存コードに追加",1,0)</f>
        <v>0</v>
      </c>
      <c r="H317" t="str">
        <f>companycode305&amp;""</f>
        <v/>
      </c>
      <c r="I317" t="str">
        <f>IF(accelikkatsu305="","希望しない",accelikkatsu305)</f>
        <v>希望しない</v>
      </c>
      <c r="J317" t="str">
        <f>IF(belugabunyn305="","なし",belugabunyn305)</f>
        <v>なし</v>
      </c>
      <c r="K317" t="str">
        <f>belugabun305&amp;""</f>
        <v/>
      </c>
      <c r="L317" t="b">
        <f>shutoku305</f>
        <v>0</v>
      </c>
    </row>
    <row r="318" spans="1:12">
      <c r="A318">
        <v>306</v>
      </c>
      <c r="B318" t="str">
        <f>IF(moushikubun306="","追加",moushikubun306)</f>
        <v>追加</v>
      </c>
      <c r="C318" t="str">
        <f>shubetsu306&amp;""</f>
        <v/>
      </c>
      <c r="D318" t="str">
        <f>billid306&amp;""</f>
        <v/>
      </c>
      <c r="E318" t="str">
        <f>UPPER(SUBSTITUTE(番明[[#This Row],[ご請求番号]],"-",""))</f>
        <v/>
      </c>
      <c r="F318" t="str">
        <f>keiyakuid306&amp;""</f>
        <v/>
      </c>
      <c r="G318">
        <f>IF(companyyn306="既存コードに追加",1,0)</f>
        <v>0</v>
      </c>
      <c r="H318" t="str">
        <f>companycode306&amp;""</f>
        <v/>
      </c>
      <c r="I318" t="str">
        <f>IF(accelikkatsu306="","希望しない",accelikkatsu306)</f>
        <v>希望しない</v>
      </c>
      <c r="J318" t="str">
        <f>IF(belugabunyn306="","なし",belugabunyn306)</f>
        <v>なし</v>
      </c>
      <c r="K318" t="str">
        <f>belugabun306&amp;""</f>
        <v/>
      </c>
      <c r="L318" t="b">
        <f>shutoku306</f>
        <v>0</v>
      </c>
    </row>
    <row r="319" spans="1:12">
      <c r="A319">
        <v>307</v>
      </c>
      <c r="B319" t="str">
        <f>IF(moushikubun307="","追加",moushikubun307)</f>
        <v>追加</v>
      </c>
      <c r="C319" t="str">
        <f>shubetsu307&amp;""</f>
        <v/>
      </c>
      <c r="D319" t="str">
        <f>billid307&amp;""</f>
        <v/>
      </c>
      <c r="E319" t="str">
        <f>UPPER(SUBSTITUTE(番明[[#This Row],[ご請求番号]],"-",""))</f>
        <v/>
      </c>
      <c r="F319" t="str">
        <f>keiyakuid307&amp;""</f>
        <v/>
      </c>
      <c r="G319">
        <f>IF(companyyn307="既存コードに追加",1,0)</f>
        <v>0</v>
      </c>
      <c r="H319" t="str">
        <f>companycode307&amp;""</f>
        <v/>
      </c>
      <c r="I319" t="str">
        <f>IF(accelikkatsu307="","希望しない",accelikkatsu307)</f>
        <v>希望しない</v>
      </c>
      <c r="J319" t="str">
        <f>IF(belugabunyn307="","なし",belugabunyn307)</f>
        <v>なし</v>
      </c>
      <c r="K319" t="str">
        <f>belugabun307&amp;""</f>
        <v/>
      </c>
      <c r="L319" t="b">
        <f>shutoku307</f>
        <v>0</v>
      </c>
    </row>
    <row r="320" spans="1:12">
      <c r="A320">
        <v>308</v>
      </c>
      <c r="B320" t="str">
        <f>IF(moushikubun308="","追加",moushikubun308)</f>
        <v>追加</v>
      </c>
      <c r="C320" t="str">
        <f>shubetsu308&amp;""</f>
        <v/>
      </c>
      <c r="D320" t="str">
        <f>billid308&amp;""</f>
        <v/>
      </c>
      <c r="E320" t="str">
        <f>UPPER(SUBSTITUTE(番明[[#This Row],[ご請求番号]],"-",""))</f>
        <v/>
      </c>
      <c r="F320" t="str">
        <f>keiyakuid308&amp;""</f>
        <v/>
      </c>
      <c r="G320">
        <f>IF(companyyn308="既存コードに追加",1,0)</f>
        <v>0</v>
      </c>
      <c r="H320" t="str">
        <f>companycode308&amp;""</f>
        <v/>
      </c>
      <c r="I320" t="str">
        <f>IF(accelikkatsu308="","希望しない",accelikkatsu308)</f>
        <v>希望しない</v>
      </c>
      <c r="J320" t="str">
        <f>IF(belugabunyn308="","なし",belugabunyn308)</f>
        <v>なし</v>
      </c>
      <c r="K320" t="str">
        <f>belugabun308&amp;""</f>
        <v/>
      </c>
      <c r="L320" t="b">
        <f>shutoku308</f>
        <v>0</v>
      </c>
    </row>
    <row r="321" spans="1:12">
      <c r="A321">
        <v>309</v>
      </c>
      <c r="B321" t="str">
        <f>IF(moushikubun309="","追加",moushikubun309)</f>
        <v>追加</v>
      </c>
      <c r="C321" t="str">
        <f>shubetsu309&amp;""</f>
        <v/>
      </c>
      <c r="D321" t="str">
        <f>billid309&amp;""</f>
        <v/>
      </c>
      <c r="E321" t="str">
        <f>UPPER(SUBSTITUTE(番明[[#This Row],[ご請求番号]],"-",""))</f>
        <v/>
      </c>
      <c r="F321" t="str">
        <f>keiyakuid309&amp;""</f>
        <v/>
      </c>
      <c r="G321">
        <f>IF(companyyn309="既存コードに追加",1,0)</f>
        <v>0</v>
      </c>
      <c r="H321" t="str">
        <f>companycode309&amp;""</f>
        <v/>
      </c>
      <c r="I321" t="str">
        <f>IF(accelikkatsu309="","希望しない",accelikkatsu309)</f>
        <v>希望しない</v>
      </c>
      <c r="J321" t="str">
        <f>IF(belugabunyn309="","なし",belugabunyn309)</f>
        <v>なし</v>
      </c>
      <c r="K321" t="str">
        <f>belugabun309&amp;""</f>
        <v/>
      </c>
      <c r="L321" t="b">
        <f>shutoku309</f>
        <v>0</v>
      </c>
    </row>
    <row r="322" spans="1:12">
      <c r="A322">
        <v>310</v>
      </c>
      <c r="B322" t="str">
        <f>IF(moushikubun310="","追加",moushikubun310)</f>
        <v>追加</v>
      </c>
      <c r="C322" t="str">
        <f>shubetsu310&amp;""</f>
        <v/>
      </c>
      <c r="D322" t="str">
        <f>billid310&amp;""</f>
        <v/>
      </c>
      <c r="E322" t="str">
        <f>UPPER(SUBSTITUTE(番明[[#This Row],[ご請求番号]],"-",""))</f>
        <v/>
      </c>
      <c r="F322" t="str">
        <f>keiyakuid310&amp;""</f>
        <v/>
      </c>
      <c r="G322">
        <f>IF(companyyn310="既存コードに追加",1,0)</f>
        <v>0</v>
      </c>
      <c r="H322" t="str">
        <f>companycode310&amp;""</f>
        <v/>
      </c>
      <c r="I322" t="str">
        <f>IF(accelikkatsu310="","希望しない",accelikkatsu310)</f>
        <v>希望しない</v>
      </c>
      <c r="J322" t="str">
        <f>IF(belugabunyn310="","なし",belugabunyn310)</f>
        <v>なし</v>
      </c>
      <c r="K322" t="str">
        <f>belugabun310&amp;""</f>
        <v/>
      </c>
      <c r="L322" t="b">
        <f>shutoku310</f>
        <v>0</v>
      </c>
    </row>
    <row r="323" spans="1:12">
      <c r="A323">
        <v>311</v>
      </c>
      <c r="B323" t="str">
        <f>IF(moushikubun311="","追加",moushikubun311)</f>
        <v>追加</v>
      </c>
      <c r="C323" t="str">
        <f>shubetsu311&amp;""</f>
        <v/>
      </c>
      <c r="D323" t="str">
        <f>billid311&amp;""</f>
        <v/>
      </c>
      <c r="E323" t="str">
        <f>UPPER(SUBSTITUTE(番明[[#This Row],[ご請求番号]],"-",""))</f>
        <v/>
      </c>
      <c r="F323" t="str">
        <f>keiyakuid311&amp;""</f>
        <v/>
      </c>
      <c r="G323">
        <f>IF(companyyn311="既存コードに追加",1,0)</f>
        <v>0</v>
      </c>
      <c r="H323" t="str">
        <f>companycode311&amp;""</f>
        <v/>
      </c>
      <c r="I323" t="str">
        <f>IF(accelikkatsu311="","希望しない",accelikkatsu311)</f>
        <v>希望しない</v>
      </c>
      <c r="J323" t="str">
        <f>IF(belugabunyn311="","なし",belugabunyn311)</f>
        <v>なし</v>
      </c>
      <c r="K323" t="str">
        <f>belugabun311&amp;""</f>
        <v/>
      </c>
      <c r="L323" t="b">
        <f>shutoku311</f>
        <v>0</v>
      </c>
    </row>
    <row r="324" spans="1:12">
      <c r="A324">
        <v>312</v>
      </c>
      <c r="B324" t="str">
        <f>IF(moushikubun312="","追加",moushikubun312)</f>
        <v>追加</v>
      </c>
      <c r="C324" t="str">
        <f>shubetsu312&amp;""</f>
        <v/>
      </c>
      <c r="D324" t="str">
        <f>billid312&amp;""</f>
        <v/>
      </c>
      <c r="E324" t="str">
        <f>UPPER(SUBSTITUTE(番明[[#This Row],[ご請求番号]],"-",""))</f>
        <v/>
      </c>
      <c r="F324" t="str">
        <f>keiyakuid312&amp;""</f>
        <v/>
      </c>
      <c r="G324">
        <f>IF(companyyn312="既存コードに追加",1,0)</f>
        <v>0</v>
      </c>
      <c r="H324" t="str">
        <f>companycode312&amp;""</f>
        <v/>
      </c>
      <c r="I324" t="str">
        <f>IF(accelikkatsu312="","希望しない",accelikkatsu312)</f>
        <v>希望しない</v>
      </c>
      <c r="J324" t="str">
        <f>IF(belugabunyn312="","なし",belugabunyn312)</f>
        <v>なし</v>
      </c>
      <c r="K324" t="str">
        <f>belugabun312&amp;""</f>
        <v/>
      </c>
      <c r="L324" t="b">
        <f>shutoku312</f>
        <v>0</v>
      </c>
    </row>
    <row r="325" spans="1:12">
      <c r="A325">
        <v>313</v>
      </c>
      <c r="B325" t="str">
        <f>IF(moushikubun313="","追加",moushikubun313)</f>
        <v>追加</v>
      </c>
      <c r="C325" t="str">
        <f>shubetsu313&amp;""</f>
        <v/>
      </c>
      <c r="D325" t="str">
        <f>billid313&amp;""</f>
        <v/>
      </c>
      <c r="E325" t="str">
        <f>UPPER(SUBSTITUTE(番明[[#This Row],[ご請求番号]],"-",""))</f>
        <v/>
      </c>
      <c r="F325" t="str">
        <f>keiyakuid313&amp;""</f>
        <v/>
      </c>
      <c r="G325">
        <f>IF(companyyn313="既存コードに追加",1,0)</f>
        <v>0</v>
      </c>
      <c r="H325" t="str">
        <f>companycode313&amp;""</f>
        <v/>
      </c>
      <c r="I325" t="str">
        <f>IF(accelikkatsu313="","希望しない",accelikkatsu313)</f>
        <v>希望しない</v>
      </c>
      <c r="J325" t="str">
        <f>IF(belugabunyn313="","なし",belugabunyn313)</f>
        <v>なし</v>
      </c>
      <c r="K325" t="str">
        <f>belugabun313&amp;""</f>
        <v/>
      </c>
      <c r="L325" t="b">
        <f>shutoku313</f>
        <v>0</v>
      </c>
    </row>
    <row r="326" spans="1:12">
      <c r="A326">
        <v>314</v>
      </c>
      <c r="B326" t="str">
        <f>IF(moushikubun314="","追加",moushikubun314)</f>
        <v>追加</v>
      </c>
      <c r="C326" t="str">
        <f>shubetsu314&amp;""</f>
        <v/>
      </c>
      <c r="D326" t="str">
        <f>billid314&amp;""</f>
        <v/>
      </c>
      <c r="E326" t="str">
        <f>UPPER(SUBSTITUTE(番明[[#This Row],[ご請求番号]],"-",""))</f>
        <v/>
      </c>
      <c r="F326" t="str">
        <f>keiyakuid314&amp;""</f>
        <v/>
      </c>
      <c r="G326">
        <f>IF(companyyn314="既存コードに追加",1,0)</f>
        <v>0</v>
      </c>
      <c r="H326" t="str">
        <f>companycode314&amp;""</f>
        <v/>
      </c>
      <c r="I326" t="str">
        <f>IF(accelikkatsu314="","希望しない",accelikkatsu314)</f>
        <v>希望しない</v>
      </c>
      <c r="J326" t="str">
        <f>IF(belugabunyn314="","なし",belugabunyn314)</f>
        <v>なし</v>
      </c>
      <c r="K326" t="str">
        <f>belugabun314&amp;""</f>
        <v/>
      </c>
      <c r="L326" t="b">
        <f>shutoku314</f>
        <v>0</v>
      </c>
    </row>
    <row r="327" spans="1:12">
      <c r="A327">
        <v>315</v>
      </c>
      <c r="B327" t="str">
        <f>IF(moushikubun315="","追加",moushikubun315)</f>
        <v>追加</v>
      </c>
      <c r="C327" t="str">
        <f>shubetsu315&amp;""</f>
        <v/>
      </c>
      <c r="D327" t="str">
        <f>billid315&amp;""</f>
        <v/>
      </c>
      <c r="E327" t="str">
        <f>UPPER(SUBSTITUTE(番明[[#This Row],[ご請求番号]],"-",""))</f>
        <v/>
      </c>
      <c r="F327" t="str">
        <f>keiyakuid315&amp;""</f>
        <v/>
      </c>
      <c r="G327">
        <f>IF(companyyn315="既存コードに追加",1,0)</f>
        <v>0</v>
      </c>
      <c r="H327" t="str">
        <f>companycode315&amp;""</f>
        <v/>
      </c>
      <c r="I327" t="str">
        <f>IF(accelikkatsu315="","希望しない",accelikkatsu315)</f>
        <v>希望しない</v>
      </c>
      <c r="J327" t="str">
        <f>IF(belugabunyn315="","なし",belugabunyn315)</f>
        <v>なし</v>
      </c>
      <c r="K327" t="str">
        <f>belugabun315&amp;""</f>
        <v/>
      </c>
      <c r="L327" t="b">
        <f>shutoku315</f>
        <v>0</v>
      </c>
    </row>
    <row r="328" spans="1:12">
      <c r="A328">
        <v>316</v>
      </c>
      <c r="B328" t="str">
        <f>IF(moushikubun316="","追加",moushikubun316)</f>
        <v>追加</v>
      </c>
      <c r="C328" t="str">
        <f>shubetsu316&amp;""</f>
        <v/>
      </c>
      <c r="D328" t="str">
        <f>billid316&amp;""</f>
        <v/>
      </c>
      <c r="E328" t="str">
        <f>UPPER(SUBSTITUTE(番明[[#This Row],[ご請求番号]],"-",""))</f>
        <v/>
      </c>
      <c r="F328" t="str">
        <f>keiyakuid316&amp;""</f>
        <v/>
      </c>
      <c r="G328">
        <f>IF(companyyn316="既存コードに追加",1,0)</f>
        <v>0</v>
      </c>
      <c r="H328" t="str">
        <f>companycode316&amp;""</f>
        <v/>
      </c>
      <c r="I328" t="str">
        <f>IF(accelikkatsu316="","希望しない",accelikkatsu316)</f>
        <v>希望しない</v>
      </c>
      <c r="J328" t="str">
        <f>IF(belugabunyn316="","なし",belugabunyn316)</f>
        <v>なし</v>
      </c>
      <c r="K328" t="str">
        <f>belugabun316&amp;""</f>
        <v/>
      </c>
      <c r="L328" t="b">
        <f>shutoku316</f>
        <v>0</v>
      </c>
    </row>
    <row r="329" spans="1:12">
      <c r="A329">
        <v>317</v>
      </c>
      <c r="B329" t="str">
        <f>IF(moushikubun317="","追加",moushikubun317)</f>
        <v>追加</v>
      </c>
      <c r="C329" t="str">
        <f>shubetsu317&amp;""</f>
        <v/>
      </c>
      <c r="D329" t="str">
        <f>billid317&amp;""</f>
        <v/>
      </c>
      <c r="E329" t="str">
        <f>UPPER(SUBSTITUTE(番明[[#This Row],[ご請求番号]],"-",""))</f>
        <v/>
      </c>
      <c r="F329" t="str">
        <f>keiyakuid317&amp;""</f>
        <v/>
      </c>
      <c r="G329">
        <f>IF(companyyn317="既存コードに追加",1,0)</f>
        <v>0</v>
      </c>
      <c r="H329" t="str">
        <f>companycode317&amp;""</f>
        <v/>
      </c>
      <c r="I329" t="str">
        <f>IF(accelikkatsu317="","希望しない",accelikkatsu317)</f>
        <v>希望しない</v>
      </c>
      <c r="J329" t="str">
        <f>IF(belugabunyn317="","なし",belugabunyn317)</f>
        <v>なし</v>
      </c>
      <c r="K329" t="str">
        <f>belugabun317&amp;""</f>
        <v/>
      </c>
      <c r="L329" t="b">
        <f>shutoku317</f>
        <v>0</v>
      </c>
    </row>
    <row r="330" spans="1:12">
      <c r="A330">
        <v>318</v>
      </c>
      <c r="B330" t="str">
        <f>IF(moushikubun318="","追加",moushikubun318)</f>
        <v>追加</v>
      </c>
      <c r="C330" t="str">
        <f>shubetsu318&amp;""</f>
        <v/>
      </c>
      <c r="D330" t="str">
        <f>billid318&amp;""</f>
        <v/>
      </c>
      <c r="E330" t="str">
        <f>UPPER(SUBSTITUTE(番明[[#This Row],[ご請求番号]],"-",""))</f>
        <v/>
      </c>
      <c r="F330" t="str">
        <f>keiyakuid318&amp;""</f>
        <v/>
      </c>
      <c r="G330">
        <f>IF(companyyn318="既存コードに追加",1,0)</f>
        <v>0</v>
      </c>
      <c r="H330" t="str">
        <f>companycode318&amp;""</f>
        <v/>
      </c>
      <c r="I330" t="str">
        <f>IF(accelikkatsu318="","希望しない",accelikkatsu318)</f>
        <v>希望しない</v>
      </c>
      <c r="J330" t="str">
        <f>IF(belugabunyn318="","なし",belugabunyn318)</f>
        <v>なし</v>
      </c>
      <c r="K330" t="str">
        <f>belugabun318&amp;""</f>
        <v/>
      </c>
      <c r="L330" t="b">
        <f>shutoku318</f>
        <v>0</v>
      </c>
    </row>
    <row r="331" spans="1:12">
      <c r="A331">
        <v>319</v>
      </c>
      <c r="B331" t="str">
        <f>IF(moushikubun319="","追加",moushikubun319)</f>
        <v>追加</v>
      </c>
      <c r="C331" t="str">
        <f>shubetsu319&amp;""</f>
        <v/>
      </c>
      <c r="D331" t="str">
        <f>billid319&amp;""</f>
        <v/>
      </c>
      <c r="E331" t="str">
        <f>UPPER(SUBSTITUTE(番明[[#This Row],[ご請求番号]],"-",""))</f>
        <v/>
      </c>
      <c r="F331" t="str">
        <f>keiyakuid319&amp;""</f>
        <v/>
      </c>
      <c r="G331">
        <f>IF(companyyn319="既存コードに追加",1,0)</f>
        <v>0</v>
      </c>
      <c r="H331" t="str">
        <f>companycode319&amp;""</f>
        <v/>
      </c>
      <c r="I331" t="str">
        <f>IF(accelikkatsu319="","希望しない",accelikkatsu319)</f>
        <v>希望しない</v>
      </c>
      <c r="J331" t="str">
        <f>IF(belugabunyn319="","なし",belugabunyn319)</f>
        <v>なし</v>
      </c>
      <c r="K331" t="str">
        <f>belugabun319&amp;""</f>
        <v/>
      </c>
      <c r="L331" t="b">
        <f>shutoku319</f>
        <v>0</v>
      </c>
    </row>
    <row r="332" spans="1:12">
      <c r="A332">
        <v>320</v>
      </c>
      <c r="B332" t="str">
        <f>IF(moushikubun320="","追加",moushikubun320)</f>
        <v>追加</v>
      </c>
      <c r="C332" t="str">
        <f>shubetsu320&amp;""</f>
        <v/>
      </c>
      <c r="D332" t="str">
        <f>billid320&amp;""</f>
        <v/>
      </c>
      <c r="E332" t="str">
        <f>UPPER(SUBSTITUTE(番明[[#This Row],[ご請求番号]],"-",""))</f>
        <v/>
      </c>
      <c r="F332" t="str">
        <f>keiyakuid320&amp;""</f>
        <v/>
      </c>
      <c r="G332">
        <f>IF(companyyn320="既存コードに追加",1,0)</f>
        <v>0</v>
      </c>
      <c r="H332" t="str">
        <f>companycode320&amp;""</f>
        <v/>
      </c>
      <c r="I332" t="str">
        <f>IF(accelikkatsu320="","希望しない",accelikkatsu320)</f>
        <v>希望しない</v>
      </c>
      <c r="J332" t="str">
        <f>IF(belugabunyn320="","なし",belugabunyn320)</f>
        <v>なし</v>
      </c>
      <c r="K332" t="str">
        <f>belugabun320&amp;""</f>
        <v/>
      </c>
      <c r="L332" t="b">
        <f>shutoku320</f>
        <v>0</v>
      </c>
    </row>
    <row r="333" spans="1:12">
      <c r="A333">
        <v>321</v>
      </c>
      <c r="B333" t="str">
        <f>IF(moushikubun321="","追加",moushikubun321)</f>
        <v>追加</v>
      </c>
      <c r="C333" t="str">
        <f>shubetsu321&amp;""</f>
        <v/>
      </c>
      <c r="D333" t="str">
        <f>billid321&amp;""</f>
        <v/>
      </c>
      <c r="E333" t="str">
        <f>UPPER(SUBSTITUTE(番明[[#This Row],[ご請求番号]],"-",""))</f>
        <v/>
      </c>
      <c r="F333" t="str">
        <f>keiyakuid321&amp;""</f>
        <v/>
      </c>
      <c r="G333">
        <f>IF(companyyn321="既存コードに追加",1,0)</f>
        <v>0</v>
      </c>
      <c r="H333" t="str">
        <f>companycode321&amp;""</f>
        <v/>
      </c>
      <c r="I333" t="str">
        <f>IF(accelikkatsu321="","希望しない",accelikkatsu321)</f>
        <v>希望しない</v>
      </c>
      <c r="J333" t="str">
        <f>IF(belugabunyn321="","なし",belugabunyn321)</f>
        <v>なし</v>
      </c>
      <c r="K333" t="str">
        <f>belugabun321&amp;""</f>
        <v/>
      </c>
      <c r="L333" t="b">
        <f>shutoku321</f>
        <v>0</v>
      </c>
    </row>
    <row r="334" spans="1:12">
      <c r="A334">
        <v>322</v>
      </c>
      <c r="B334" t="str">
        <f>IF(moushikubun322="","追加",moushikubun322)</f>
        <v>追加</v>
      </c>
      <c r="C334" t="str">
        <f>shubetsu322&amp;""</f>
        <v/>
      </c>
      <c r="D334" t="str">
        <f>billid322&amp;""</f>
        <v/>
      </c>
      <c r="E334" t="str">
        <f>UPPER(SUBSTITUTE(番明[[#This Row],[ご請求番号]],"-",""))</f>
        <v/>
      </c>
      <c r="F334" t="str">
        <f>keiyakuid322&amp;""</f>
        <v/>
      </c>
      <c r="G334">
        <f>IF(companyyn322="既存コードに追加",1,0)</f>
        <v>0</v>
      </c>
      <c r="H334" t="str">
        <f>companycode322&amp;""</f>
        <v/>
      </c>
      <c r="I334" t="str">
        <f>IF(accelikkatsu322="","希望しない",accelikkatsu322)</f>
        <v>希望しない</v>
      </c>
      <c r="J334" t="str">
        <f>IF(belugabunyn322="","なし",belugabunyn322)</f>
        <v>なし</v>
      </c>
      <c r="K334" t="str">
        <f>belugabun322&amp;""</f>
        <v/>
      </c>
      <c r="L334" t="b">
        <f>shutoku322</f>
        <v>0</v>
      </c>
    </row>
    <row r="335" spans="1:12">
      <c r="A335">
        <v>323</v>
      </c>
      <c r="B335" t="str">
        <f>IF(moushikubun323="","追加",moushikubun323)</f>
        <v>追加</v>
      </c>
      <c r="C335" t="str">
        <f>shubetsu323&amp;""</f>
        <v/>
      </c>
      <c r="D335" t="str">
        <f>billid323&amp;""</f>
        <v/>
      </c>
      <c r="E335" t="str">
        <f>UPPER(SUBSTITUTE(番明[[#This Row],[ご請求番号]],"-",""))</f>
        <v/>
      </c>
      <c r="F335" t="str">
        <f>keiyakuid323&amp;""</f>
        <v/>
      </c>
      <c r="G335">
        <f>IF(companyyn323="既存コードに追加",1,0)</f>
        <v>0</v>
      </c>
      <c r="H335" t="str">
        <f>companycode323&amp;""</f>
        <v/>
      </c>
      <c r="I335" t="str">
        <f>IF(accelikkatsu323="","希望しない",accelikkatsu323)</f>
        <v>希望しない</v>
      </c>
      <c r="J335" t="str">
        <f>IF(belugabunyn323="","なし",belugabunyn323)</f>
        <v>なし</v>
      </c>
      <c r="K335" t="str">
        <f>belugabun323&amp;""</f>
        <v/>
      </c>
      <c r="L335" t="b">
        <f>shutoku323</f>
        <v>0</v>
      </c>
    </row>
    <row r="336" spans="1:12">
      <c r="A336">
        <v>324</v>
      </c>
      <c r="B336" t="str">
        <f>IF(moushikubun324="","追加",moushikubun324)</f>
        <v>追加</v>
      </c>
      <c r="C336" t="str">
        <f>shubetsu324&amp;""</f>
        <v/>
      </c>
      <c r="D336" t="str">
        <f>billid324&amp;""</f>
        <v/>
      </c>
      <c r="E336" t="str">
        <f>UPPER(SUBSTITUTE(番明[[#This Row],[ご請求番号]],"-",""))</f>
        <v/>
      </c>
      <c r="F336" t="str">
        <f>keiyakuid324&amp;""</f>
        <v/>
      </c>
      <c r="G336">
        <f>IF(companyyn324="既存コードに追加",1,0)</f>
        <v>0</v>
      </c>
      <c r="H336" t="str">
        <f>companycode324&amp;""</f>
        <v/>
      </c>
      <c r="I336" t="str">
        <f>IF(accelikkatsu324="","希望しない",accelikkatsu324)</f>
        <v>希望しない</v>
      </c>
      <c r="J336" t="str">
        <f>IF(belugabunyn324="","なし",belugabunyn324)</f>
        <v>なし</v>
      </c>
      <c r="K336" t="str">
        <f>belugabun324&amp;""</f>
        <v/>
      </c>
      <c r="L336" t="b">
        <f>shutoku324</f>
        <v>0</v>
      </c>
    </row>
    <row r="337" spans="1:12">
      <c r="A337">
        <v>325</v>
      </c>
      <c r="B337" t="str">
        <f>IF(moushikubun325="","追加",moushikubun325)</f>
        <v>追加</v>
      </c>
      <c r="C337" t="str">
        <f>shubetsu325&amp;""</f>
        <v/>
      </c>
      <c r="D337" t="str">
        <f>billid325&amp;""</f>
        <v/>
      </c>
      <c r="E337" t="str">
        <f>UPPER(SUBSTITUTE(番明[[#This Row],[ご請求番号]],"-",""))</f>
        <v/>
      </c>
      <c r="F337" t="str">
        <f>keiyakuid325&amp;""</f>
        <v/>
      </c>
      <c r="G337">
        <f>IF(companyyn325="既存コードに追加",1,0)</f>
        <v>0</v>
      </c>
      <c r="H337" t="str">
        <f>companycode325&amp;""</f>
        <v/>
      </c>
      <c r="I337" t="str">
        <f>IF(accelikkatsu325="","希望しない",accelikkatsu325)</f>
        <v>希望しない</v>
      </c>
      <c r="J337" t="str">
        <f>IF(belugabunyn325="","なし",belugabunyn325)</f>
        <v>なし</v>
      </c>
      <c r="K337" t="str">
        <f>belugabun325&amp;""</f>
        <v/>
      </c>
      <c r="L337" t="b">
        <f>shutoku325</f>
        <v>0</v>
      </c>
    </row>
    <row r="338" spans="1:12">
      <c r="A338">
        <v>326</v>
      </c>
      <c r="B338" t="str">
        <f>IF(moushikubun326="","追加",moushikubun326)</f>
        <v>追加</v>
      </c>
      <c r="C338" t="str">
        <f>shubetsu326&amp;""</f>
        <v/>
      </c>
      <c r="D338" t="str">
        <f>billid326&amp;""</f>
        <v/>
      </c>
      <c r="E338" t="str">
        <f>UPPER(SUBSTITUTE(番明[[#This Row],[ご請求番号]],"-",""))</f>
        <v/>
      </c>
      <c r="F338" t="str">
        <f>keiyakuid326&amp;""</f>
        <v/>
      </c>
      <c r="G338">
        <f>IF(companyyn326="既存コードに追加",1,0)</f>
        <v>0</v>
      </c>
      <c r="H338" t="str">
        <f>companycode326&amp;""</f>
        <v/>
      </c>
      <c r="I338" t="str">
        <f>IF(accelikkatsu326="","希望しない",accelikkatsu326)</f>
        <v>希望しない</v>
      </c>
      <c r="J338" t="str">
        <f>IF(belugabunyn326="","なし",belugabunyn326)</f>
        <v>なし</v>
      </c>
      <c r="K338" t="str">
        <f>belugabun326&amp;""</f>
        <v/>
      </c>
      <c r="L338" t="b">
        <f>shutoku326</f>
        <v>0</v>
      </c>
    </row>
    <row r="339" spans="1:12">
      <c r="A339">
        <v>327</v>
      </c>
      <c r="B339" t="str">
        <f>IF(moushikubun327="","追加",moushikubun327)</f>
        <v>追加</v>
      </c>
      <c r="C339" t="str">
        <f>shubetsu327&amp;""</f>
        <v/>
      </c>
      <c r="D339" t="str">
        <f>billid327&amp;""</f>
        <v/>
      </c>
      <c r="E339" t="str">
        <f>UPPER(SUBSTITUTE(番明[[#This Row],[ご請求番号]],"-",""))</f>
        <v/>
      </c>
      <c r="F339" t="str">
        <f>keiyakuid327&amp;""</f>
        <v/>
      </c>
      <c r="G339">
        <f>IF(companyyn327="既存コードに追加",1,0)</f>
        <v>0</v>
      </c>
      <c r="H339" t="str">
        <f>companycode327&amp;""</f>
        <v/>
      </c>
      <c r="I339" t="str">
        <f>IF(accelikkatsu327="","希望しない",accelikkatsu327)</f>
        <v>希望しない</v>
      </c>
      <c r="J339" t="str">
        <f>IF(belugabunyn327="","なし",belugabunyn327)</f>
        <v>なし</v>
      </c>
      <c r="K339" t="str">
        <f>belugabun327&amp;""</f>
        <v/>
      </c>
      <c r="L339" t="b">
        <f>shutoku327</f>
        <v>0</v>
      </c>
    </row>
    <row r="340" spans="1:12">
      <c r="A340">
        <v>328</v>
      </c>
      <c r="B340" t="str">
        <f>IF(moushikubun328="","追加",moushikubun328)</f>
        <v>追加</v>
      </c>
      <c r="C340" t="str">
        <f>shubetsu328&amp;""</f>
        <v/>
      </c>
      <c r="D340" t="str">
        <f>billid328&amp;""</f>
        <v/>
      </c>
      <c r="E340" t="str">
        <f>UPPER(SUBSTITUTE(番明[[#This Row],[ご請求番号]],"-",""))</f>
        <v/>
      </c>
      <c r="F340" t="str">
        <f>keiyakuid328&amp;""</f>
        <v/>
      </c>
      <c r="G340">
        <f>IF(companyyn328="既存コードに追加",1,0)</f>
        <v>0</v>
      </c>
      <c r="H340" t="str">
        <f>companycode328&amp;""</f>
        <v/>
      </c>
      <c r="I340" t="str">
        <f>IF(accelikkatsu328="","希望しない",accelikkatsu328)</f>
        <v>希望しない</v>
      </c>
      <c r="J340" t="str">
        <f>IF(belugabunyn328="","なし",belugabunyn328)</f>
        <v>なし</v>
      </c>
      <c r="K340" t="str">
        <f>belugabun328&amp;""</f>
        <v/>
      </c>
      <c r="L340" t="b">
        <f>shutoku328</f>
        <v>0</v>
      </c>
    </row>
    <row r="341" spans="1:12">
      <c r="A341">
        <v>329</v>
      </c>
      <c r="B341" t="str">
        <f>IF(moushikubun329="","追加",moushikubun329)</f>
        <v>追加</v>
      </c>
      <c r="C341" t="str">
        <f>shubetsu329&amp;""</f>
        <v/>
      </c>
      <c r="D341" t="str">
        <f>billid329&amp;""</f>
        <v/>
      </c>
      <c r="E341" t="str">
        <f>UPPER(SUBSTITUTE(番明[[#This Row],[ご請求番号]],"-",""))</f>
        <v/>
      </c>
      <c r="F341" t="str">
        <f>keiyakuid329&amp;""</f>
        <v/>
      </c>
      <c r="G341">
        <f>IF(companyyn329="既存コードに追加",1,0)</f>
        <v>0</v>
      </c>
      <c r="H341" t="str">
        <f>companycode329&amp;""</f>
        <v/>
      </c>
      <c r="I341" t="str">
        <f>IF(accelikkatsu329="","希望しない",accelikkatsu329)</f>
        <v>希望しない</v>
      </c>
      <c r="J341" t="str">
        <f>IF(belugabunyn329="","なし",belugabunyn329)</f>
        <v>なし</v>
      </c>
      <c r="K341" t="str">
        <f>belugabun329&amp;""</f>
        <v/>
      </c>
      <c r="L341" t="b">
        <f>shutoku329</f>
        <v>0</v>
      </c>
    </row>
    <row r="342" spans="1:12">
      <c r="A342">
        <v>330</v>
      </c>
      <c r="B342" t="str">
        <f>IF(moushikubun330="","追加",moushikubun330)</f>
        <v>追加</v>
      </c>
      <c r="C342" t="str">
        <f>shubetsu330&amp;""</f>
        <v/>
      </c>
      <c r="D342" t="str">
        <f>billid330&amp;""</f>
        <v/>
      </c>
      <c r="E342" t="str">
        <f>UPPER(SUBSTITUTE(番明[[#This Row],[ご請求番号]],"-",""))</f>
        <v/>
      </c>
      <c r="F342" t="str">
        <f>keiyakuid330&amp;""</f>
        <v/>
      </c>
      <c r="G342">
        <f>IF(companyyn330="既存コードに追加",1,0)</f>
        <v>0</v>
      </c>
      <c r="H342" t="str">
        <f>companycode330&amp;""</f>
        <v/>
      </c>
      <c r="I342" t="str">
        <f>IF(accelikkatsu330="","希望しない",accelikkatsu330)</f>
        <v>希望しない</v>
      </c>
      <c r="J342" t="str">
        <f>IF(belugabunyn330="","なし",belugabunyn330)</f>
        <v>なし</v>
      </c>
      <c r="K342" t="str">
        <f>belugabun330&amp;""</f>
        <v/>
      </c>
      <c r="L342" t="b">
        <f>shutoku330</f>
        <v>0</v>
      </c>
    </row>
    <row r="343" spans="1:12">
      <c r="A343">
        <v>331</v>
      </c>
      <c r="B343" t="str">
        <f>IF(moushikubun331="","追加",moushikubun331)</f>
        <v>追加</v>
      </c>
      <c r="C343" t="str">
        <f>shubetsu331&amp;""</f>
        <v/>
      </c>
      <c r="D343" t="str">
        <f>billid331&amp;""</f>
        <v/>
      </c>
      <c r="E343" t="str">
        <f>UPPER(SUBSTITUTE(番明[[#This Row],[ご請求番号]],"-",""))</f>
        <v/>
      </c>
      <c r="F343" t="str">
        <f>keiyakuid331&amp;""</f>
        <v/>
      </c>
      <c r="G343">
        <f>IF(companyyn331="既存コードに追加",1,0)</f>
        <v>0</v>
      </c>
      <c r="H343" t="str">
        <f>companycode331&amp;""</f>
        <v/>
      </c>
      <c r="I343" t="str">
        <f>IF(accelikkatsu331="","希望しない",accelikkatsu331)</f>
        <v>希望しない</v>
      </c>
      <c r="J343" t="str">
        <f>IF(belugabunyn331="","なし",belugabunyn331)</f>
        <v>なし</v>
      </c>
      <c r="K343" t="str">
        <f>belugabun331&amp;""</f>
        <v/>
      </c>
      <c r="L343" t="b">
        <f>shutoku331</f>
        <v>0</v>
      </c>
    </row>
    <row r="344" spans="1:12">
      <c r="A344">
        <v>332</v>
      </c>
      <c r="B344" t="str">
        <f>IF(moushikubun332="","追加",moushikubun332)</f>
        <v>追加</v>
      </c>
      <c r="C344" t="str">
        <f>shubetsu332&amp;""</f>
        <v/>
      </c>
      <c r="D344" t="str">
        <f>billid332&amp;""</f>
        <v/>
      </c>
      <c r="E344" t="str">
        <f>UPPER(SUBSTITUTE(番明[[#This Row],[ご請求番号]],"-",""))</f>
        <v/>
      </c>
      <c r="F344" t="str">
        <f>keiyakuid332&amp;""</f>
        <v/>
      </c>
      <c r="G344">
        <f>IF(companyyn332="既存コードに追加",1,0)</f>
        <v>0</v>
      </c>
      <c r="H344" t="str">
        <f>companycode332&amp;""</f>
        <v/>
      </c>
      <c r="I344" t="str">
        <f>IF(accelikkatsu332="","希望しない",accelikkatsu332)</f>
        <v>希望しない</v>
      </c>
      <c r="J344" t="str">
        <f>IF(belugabunyn332="","なし",belugabunyn332)</f>
        <v>なし</v>
      </c>
      <c r="K344" t="str">
        <f>belugabun332&amp;""</f>
        <v/>
      </c>
      <c r="L344" t="b">
        <f>shutoku332</f>
        <v>0</v>
      </c>
    </row>
    <row r="345" spans="1:12">
      <c r="A345">
        <v>333</v>
      </c>
      <c r="B345" t="str">
        <f>IF(moushikubun333="","追加",moushikubun333)</f>
        <v>追加</v>
      </c>
      <c r="C345" t="str">
        <f>shubetsu333&amp;""</f>
        <v/>
      </c>
      <c r="D345" t="str">
        <f>billid333&amp;""</f>
        <v/>
      </c>
      <c r="E345" t="str">
        <f>UPPER(SUBSTITUTE(番明[[#This Row],[ご請求番号]],"-",""))</f>
        <v/>
      </c>
      <c r="F345" t="str">
        <f>keiyakuid333&amp;""</f>
        <v/>
      </c>
      <c r="G345">
        <f>IF(companyyn333="既存コードに追加",1,0)</f>
        <v>0</v>
      </c>
      <c r="H345" t="str">
        <f>companycode333&amp;""</f>
        <v/>
      </c>
      <c r="I345" t="str">
        <f>IF(accelikkatsu333="","希望しない",accelikkatsu333)</f>
        <v>希望しない</v>
      </c>
      <c r="J345" t="str">
        <f>IF(belugabunyn333="","なし",belugabunyn333)</f>
        <v>なし</v>
      </c>
      <c r="K345" t="str">
        <f>belugabun333&amp;""</f>
        <v/>
      </c>
      <c r="L345" t="b">
        <f>shutoku333</f>
        <v>0</v>
      </c>
    </row>
    <row r="346" spans="1:12">
      <c r="A346">
        <v>334</v>
      </c>
      <c r="B346" t="str">
        <f>IF(moushikubun334="","追加",moushikubun334)</f>
        <v>追加</v>
      </c>
      <c r="C346" t="str">
        <f>shubetsu334&amp;""</f>
        <v/>
      </c>
      <c r="D346" t="str">
        <f>billid334&amp;""</f>
        <v/>
      </c>
      <c r="E346" t="str">
        <f>UPPER(SUBSTITUTE(番明[[#This Row],[ご請求番号]],"-",""))</f>
        <v/>
      </c>
      <c r="F346" t="str">
        <f>keiyakuid334&amp;""</f>
        <v/>
      </c>
      <c r="G346">
        <f>IF(companyyn334="既存コードに追加",1,0)</f>
        <v>0</v>
      </c>
      <c r="H346" t="str">
        <f>companycode334&amp;""</f>
        <v/>
      </c>
      <c r="I346" t="str">
        <f>IF(accelikkatsu334="","希望しない",accelikkatsu334)</f>
        <v>希望しない</v>
      </c>
      <c r="J346" t="str">
        <f>IF(belugabunyn334="","なし",belugabunyn334)</f>
        <v>なし</v>
      </c>
      <c r="K346" t="str">
        <f>belugabun334&amp;""</f>
        <v/>
      </c>
      <c r="L346" t="b">
        <f>shutoku334</f>
        <v>0</v>
      </c>
    </row>
    <row r="347" spans="1:12">
      <c r="A347">
        <v>335</v>
      </c>
      <c r="B347" t="str">
        <f>IF(moushikubun335="","追加",moushikubun335)</f>
        <v>追加</v>
      </c>
      <c r="C347" t="str">
        <f>shubetsu335&amp;""</f>
        <v/>
      </c>
      <c r="D347" t="str">
        <f>billid335&amp;""</f>
        <v/>
      </c>
      <c r="E347" t="str">
        <f>UPPER(SUBSTITUTE(番明[[#This Row],[ご請求番号]],"-",""))</f>
        <v/>
      </c>
      <c r="F347" t="str">
        <f>keiyakuid335&amp;""</f>
        <v/>
      </c>
      <c r="G347">
        <f>IF(companyyn335="既存コードに追加",1,0)</f>
        <v>0</v>
      </c>
      <c r="H347" t="str">
        <f>companycode335&amp;""</f>
        <v/>
      </c>
      <c r="I347" t="str">
        <f>IF(accelikkatsu335="","希望しない",accelikkatsu335)</f>
        <v>希望しない</v>
      </c>
      <c r="J347" t="str">
        <f>IF(belugabunyn335="","なし",belugabunyn335)</f>
        <v>なし</v>
      </c>
      <c r="K347" t="str">
        <f>belugabun335&amp;""</f>
        <v/>
      </c>
      <c r="L347" t="b">
        <f>shutoku335</f>
        <v>0</v>
      </c>
    </row>
    <row r="348" spans="1:12">
      <c r="A348">
        <v>336</v>
      </c>
      <c r="B348" t="str">
        <f>IF(moushikubun336="","追加",moushikubun336)</f>
        <v>追加</v>
      </c>
      <c r="C348" t="str">
        <f>shubetsu336&amp;""</f>
        <v/>
      </c>
      <c r="D348" t="str">
        <f>billid336&amp;""</f>
        <v/>
      </c>
      <c r="E348" t="str">
        <f>UPPER(SUBSTITUTE(番明[[#This Row],[ご請求番号]],"-",""))</f>
        <v/>
      </c>
      <c r="F348" t="str">
        <f>keiyakuid336&amp;""</f>
        <v/>
      </c>
      <c r="G348">
        <f>IF(companyyn336="既存コードに追加",1,0)</f>
        <v>0</v>
      </c>
      <c r="H348" t="str">
        <f>companycode336&amp;""</f>
        <v/>
      </c>
      <c r="I348" t="str">
        <f>IF(accelikkatsu336="","希望しない",accelikkatsu336)</f>
        <v>希望しない</v>
      </c>
      <c r="J348" t="str">
        <f>IF(belugabunyn336="","なし",belugabunyn336)</f>
        <v>なし</v>
      </c>
      <c r="K348" t="str">
        <f>belugabun336&amp;""</f>
        <v/>
      </c>
      <c r="L348" t="b">
        <f>shutoku336</f>
        <v>0</v>
      </c>
    </row>
    <row r="349" spans="1:12">
      <c r="A349">
        <v>337</v>
      </c>
      <c r="B349" t="str">
        <f>IF(moushikubun337="","追加",moushikubun337)</f>
        <v>追加</v>
      </c>
      <c r="C349" t="str">
        <f>shubetsu337&amp;""</f>
        <v/>
      </c>
      <c r="D349" t="str">
        <f>billid337&amp;""</f>
        <v/>
      </c>
      <c r="E349" t="str">
        <f>UPPER(SUBSTITUTE(番明[[#This Row],[ご請求番号]],"-",""))</f>
        <v/>
      </c>
      <c r="F349" t="str">
        <f>keiyakuid337&amp;""</f>
        <v/>
      </c>
      <c r="G349">
        <f>IF(companyyn337="既存コードに追加",1,0)</f>
        <v>0</v>
      </c>
      <c r="H349" t="str">
        <f>companycode337&amp;""</f>
        <v/>
      </c>
      <c r="I349" t="str">
        <f>IF(accelikkatsu337="","希望しない",accelikkatsu337)</f>
        <v>希望しない</v>
      </c>
      <c r="J349" t="str">
        <f>IF(belugabunyn337="","なし",belugabunyn337)</f>
        <v>なし</v>
      </c>
      <c r="K349" t="str">
        <f>belugabun337&amp;""</f>
        <v/>
      </c>
      <c r="L349" t="b">
        <f>shutoku337</f>
        <v>0</v>
      </c>
    </row>
    <row r="350" spans="1:12">
      <c r="A350">
        <v>338</v>
      </c>
      <c r="B350" t="str">
        <f>IF(moushikubun338="","追加",moushikubun338)</f>
        <v>追加</v>
      </c>
      <c r="C350" t="str">
        <f>shubetsu338&amp;""</f>
        <v/>
      </c>
      <c r="D350" t="str">
        <f>billid338&amp;""</f>
        <v/>
      </c>
      <c r="E350" t="str">
        <f>UPPER(SUBSTITUTE(番明[[#This Row],[ご請求番号]],"-",""))</f>
        <v/>
      </c>
      <c r="F350" t="str">
        <f>keiyakuid338&amp;""</f>
        <v/>
      </c>
      <c r="G350">
        <f>IF(companyyn338="既存コードに追加",1,0)</f>
        <v>0</v>
      </c>
      <c r="H350" t="str">
        <f>companycode338&amp;""</f>
        <v/>
      </c>
      <c r="I350" t="str">
        <f>IF(accelikkatsu338="","希望しない",accelikkatsu338)</f>
        <v>希望しない</v>
      </c>
      <c r="J350" t="str">
        <f>IF(belugabunyn338="","なし",belugabunyn338)</f>
        <v>なし</v>
      </c>
      <c r="K350" t="str">
        <f>belugabun338&amp;""</f>
        <v/>
      </c>
      <c r="L350" t="b">
        <f>shutoku338</f>
        <v>0</v>
      </c>
    </row>
    <row r="351" spans="1:12">
      <c r="A351">
        <v>339</v>
      </c>
      <c r="B351" t="str">
        <f>IF(moushikubun339="","追加",moushikubun339)</f>
        <v>追加</v>
      </c>
      <c r="C351" t="str">
        <f>shubetsu339&amp;""</f>
        <v/>
      </c>
      <c r="D351" t="str">
        <f>billid339&amp;""</f>
        <v/>
      </c>
      <c r="E351" t="str">
        <f>UPPER(SUBSTITUTE(番明[[#This Row],[ご請求番号]],"-",""))</f>
        <v/>
      </c>
      <c r="F351" t="str">
        <f>keiyakuid339&amp;""</f>
        <v/>
      </c>
      <c r="G351">
        <f>IF(companyyn339="既存コードに追加",1,0)</f>
        <v>0</v>
      </c>
      <c r="H351" t="str">
        <f>companycode339&amp;""</f>
        <v/>
      </c>
      <c r="I351" t="str">
        <f>IF(accelikkatsu339="","希望しない",accelikkatsu339)</f>
        <v>希望しない</v>
      </c>
      <c r="J351" t="str">
        <f>IF(belugabunyn339="","なし",belugabunyn339)</f>
        <v>なし</v>
      </c>
      <c r="K351" t="str">
        <f>belugabun339&amp;""</f>
        <v/>
      </c>
      <c r="L351" t="b">
        <f>shutoku339</f>
        <v>0</v>
      </c>
    </row>
    <row r="352" spans="1:12">
      <c r="A352">
        <v>340</v>
      </c>
      <c r="B352" t="str">
        <f>IF(moushikubun340="","追加",moushikubun340)</f>
        <v>追加</v>
      </c>
      <c r="C352" t="str">
        <f>shubetsu340&amp;""</f>
        <v/>
      </c>
      <c r="D352" t="str">
        <f>billid340&amp;""</f>
        <v/>
      </c>
      <c r="E352" t="str">
        <f>UPPER(SUBSTITUTE(番明[[#This Row],[ご請求番号]],"-",""))</f>
        <v/>
      </c>
      <c r="F352" t="str">
        <f>keiyakuid340&amp;""</f>
        <v/>
      </c>
      <c r="G352">
        <f>IF(companyyn340="既存コードに追加",1,0)</f>
        <v>0</v>
      </c>
      <c r="H352" t="str">
        <f>companycode340&amp;""</f>
        <v/>
      </c>
      <c r="I352" t="str">
        <f>IF(accelikkatsu340="","希望しない",accelikkatsu340)</f>
        <v>希望しない</v>
      </c>
      <c r="J352" t="str">
        <f>IF(belugabunyn340="","なし",belugabunyn340)</f>
        <v>なし</v>
      </c>
      <c r="K352" t="str">
        <f>belugabun340&amp;""</f>
        <v/>
      </c>
      <c r="L352" t="b">
        <f>shutoku340</f>
        <v>0</v>
      </c>
    </row>
    <row r="353" spans="1:12">
      <c r="A353">
        <v>341</v>
      </c>
      <c r="B353" t="str">
        <f>IF(moushikubun341="","追加",moushikubun341)</f>
        <v>追加</v>
      </c>
      <c r="C353" t="str">
        <f>shubetsu341&amp;""</f>
        <v/>
      </c>
      <c r="D353" t="str">
        <f>billid341&amp;""</f>
        <v/>
      </c>
      <c r="E353" t="str">
        <f>UPPER(SUBSTITUTE(番明[[#This Row],[ご請求番号]],"-",""))</f>
        <v/>
      </c>
      <c r="F353" t="str">
        <f>keiyakuid341&amp;""</f>
        <v/>
      </c>
      <c r="G353">
        <f>IF(companyyn341="既存コードに追加",1,0)</f>
        <v>0</v>
      </c>
      <c r="H353" t="str">
        <f>companycode341&amp;""</f>
        <v/>
      </c>
      <c r="I353" t="str">
        <f>IF(accelikkatsu341="","希望しない",accelikkatsu341)</f>
        <v>希望しない</v>
      </c>
      <c r="J353" t="str">
        <f>IF(belugabunyn341="","なし",belugabunyn341)</f>
        <v>なし</v>
      </c>
      <c r="K353" t="str">
        <f>belugabun341&amp;""</f>
        <v/>
      </c>
      <c r="L353" t="b">
        <f>shutoku341</f>
        <v>0</v>
      </c>
    </row>
    <row r="354" spans="1:12">
      <c r="A354">
        <v>342</v>
      </c>
      <c r="B354" t="str">
        <f>IF(moushikubun342="","追加",moushikubun342)</f>
        <v>追加</v>
      </c>
      <c r="C354" t="str">
        <f>shubetsu342&amp;""</f>
        <v/>
      </c>
      <c r="D354" t="str">
        <f>billid342&amp;""</f>
        <v/>
      </c>
      <c r="E354" t="str">
        <f>UPPER(SUBSTITUTE(番明[[#This Row],[ご請求番号]],"-",""))</f>
        <v/>
      </c>
      <c r="F354" t="str">
        <f>keiyakuid342&amp;""</f>
        <v/>
      </c>
      <c r="G354">
        <f>IF(companyyn342="既存コードに追加",1,0)</f>
        <v>0</v>
      </c>
      <c r="H354" t="str">
        <f>companycode342&amp;""</f>
        <v/>
      </c>
      <c r="I354" t="str">
        <f>IF(accelikkatsu342="","希望しない",accelikkatsu342)</f>
        <v>希望しない</v>
      </c>
      <c r="J354" t="str">
        <f>IF(belugabunyn342="","なし",belugabunyn342)</f>
        <v>なし</v>
      </c>
      <c r="K354" t="str">
        <f>belugabun342&amp;""</f>
        <v/>
      </c>
      <c r="L354" t="b">
        <f>shutoku342</f>
        <v>0</v>
      </c>
    </row>
    <row r="355" spans="1:12">
      <c r="A355">
        <v>343</v>
      </c>
      <c r="B355" t="str">
        <f>IF(moushikubun343="","追加",moushikubun343)</f>
        <v>追加</v>
      </c>
      <c r="C355" t="str">
        <f>shubetsu343&amp;""</f>
        <v/>
      </c>
      <c r="D355" t="str">
        <f>billid343&amp;""</f>
        <v/>
      </c>
      <c r="E355" t="str">
        <f>UPPER(SUBSTITUTE(番明[[#This Row],[ご請求番号]],"-",""))</f>
        <v/>
      </c>
      <c r="F355" t="str">
        <f>keiyakuid343&amp;""</f>
        <v/>
      </c>
      <c r="G355">
        <f>IF(companyyn343="既存コードに追加",1,0)</f>
        <v>0</v>
      </c>
      <c r="H355" t="str">
        <f>companycode343&amp;""</f>
        <v/>
      </c>
      <c r="I355" t="str">
        <f>IF(accelikkatsu343="","希望しない",accelikkatsu343)</f>
        <v>希望しない</v>
      </c>
      <c r="J355" t="str">
        <f>IF(belugabunyn343="","なし",belugabunyn343)</f>
        <v>なし</v>
      </c>
      <c r="K355" t="str">
        <f>belugabun343&amp;""</f>
        <v/>
      </c>
      <c r="L355" t="b">
        <f>shutoku343</f>
        <v>0</v>
      </c>
    </row>
    <row r="356" spans="1:12">
      <c r="A356">
        <v>344</v>
      </c>
      <c r="B356" t="str">
        <f>IF(moushikubun344="","追加",moushikubun344)</f>
        <v>追加</v>
      </c>
      <c r="C356" t="str">
        <f>shubetsu344&amp;""</f>
        <v/>
      </c>
      <c r="D356" t="str">
        <f>billid344&amp;""</f>
        <v/>
      </c>
      <c r="E356" t="str">
        <f>UPPER(SUBSTITUTE(番明[[#This Row],[ご請求番号]],"-",""))</f>
        <v/>
      </c>
      <c r="F356" t="str">
        <f>keiyakuid344&amp;""</f>
        <v/>
      </c>
      <c r="G356">
        <f>IF(companyyn344="既存コードに追加",1,0)</f>
        <v>0</v>
      </c>
      <c r="H356" t="str">
        <f>companycode344&amp;""</f>
        <v/>
      </c>
      <c r="I356" t="str">
        <f>IF(accelikkatsu344="","希望しない",accelikkatsu344)</f>
        <v>希望しない</v>
      </c>
      <c r="J356" t="str">
        <f>IF(belugabunyn344="","なし",belugabunyn344)</f>
        <v>なし</v>
      </c>
      <c r="K356" t="str">
        <f>belugabun344&amp;""</f>
        <v/>
      </c>
      <c r="L356" t="b">
        <f>shutoku344</f>
        <v>0</v>
      </c>
    </row>
    <row r="357" spans="1:12">
      <c r="A357">
        <v>345</v>
      </c>
      <c r="B357" t="str">
        <f>IF(moushikubun345="","追加",moushikubun345)</f>
        <v>追加</v>
      </c>
      <c r="C357" t="str">
        <f>shubetsu345&amp;""</f>
        <v/>
      </c>
      <c r="D357" t="str">
        <f>billid345&amp;""</f>
        <v/>
      </c>
      <c r="E357" t="str">
        <f>UPPER(SUBSTITUTE(番明[[#This Row],[ご請求番号]],"-",""))</f>
        <v/>
      </c>
      <c r="F357" t="str">
        <f>keiyakuid345&amp;""</f>
        <v/>
      </c>
      <c r="G357">
        <f>IF(companyyn345="既存コードに追加",1,0)</f>
        <v>0</v>
      </c>
      <c r="H357" t="str">
        <f>companycode345&amp;""</f>
        <v/>
      </c>
      <c r="I357" t="str">
        <f>IF(accelikkatsu345="","希望しない",accelikkatsu345)</f>
        <v>希望しない</v>
      </c>
      <c r="J357" t="str">
        <f>IF(belugabunyn345="","なし",belugabunyn345)</f>
        <v>なし</v>
      </c>
      <c r="K357" t="str">
        <f>belugabun345&amp;""</f>
        <v/>
      </c>
      <c r="L357" t="b">
        <f>shutoku345</f>
        <v>0</v>
      </c>
    </row>
    <row r="358" spans="1:12">
      <c r="A358">
        <v>346</v>
      </c>
      <c r="B358" t="str">
        <f>IF(moushikubun346="","追加",moushikubun346)</f>
        <v>追加</v>
      </c>
      <c r="C358" t="str">
        <f>shubetsu346&amp;""</f>
        <v/>
      </c>
      <c r="D358" t="str">
        <f>billid346&amp;""</f>
        <v/>
      </c>
      <c r="E358" t="str">
        <f>UPPER(SUBSTITUTE(番明[[#This Row],[ご請求番号]],"-",""))</f>
        <v/>
      </c>
      <c r="F358" t="str">
        <f>keiyakuid346&amp;""</f>
        <v/>
      </c>
      <c r="G358">
        <f>IF(companyyn346="既存コードに追加",1,0)</f>
        <v>0</v>
      </c>
      <c r="H358" t="str">
        <f>companycode346&amp;""</f>
        <v/>
      </c>
      <c r="I358" t="str">
        <f>IF(accelikkatsu346="","希望しない",accelikkatsu346)</f>
        <v>希望しない</v>
      </c>
      <c r="J358" t="str">
        <f>IF(belugabunyn346="","なし",belugabunyn346)</f>
        <v>なし</v>
      </c>
      <c r="K358" t="str">
        <f>belugabun346&amp;""</f>
        <v/>
      </c>
      <c r="L358" t="b">
        <f>shutoku346</f>
        <v>0</v>
      </c>
    </row>
    <row r="359" spans="1:12">
      <c r="A359">
        <v>347</v>
      </c>
      <c r="B359" t="str">
        <f>IF(moushikubun347="","追加",moushikubun347)</f>
        <v>追加</v>
      </c>
      <c r="C359" t="str">
        <f>shubetsu347&amp;""</f>
        <v/>
      </c>
      <c r="D359" t="str">
        <f>billid347&amp;""</f>
        <v/>
      </c>
      <c r="E359" t="str">
        <f>UPPER(SUBSTITUTE(番明[[#This Row],[ご請求番号]],"-",""))</f>
        <v/>
      </c>
      <c r="F359" t="str">
        <f>keiyakuid347&amp;""</f>
        <v/>
      </c>
      <c r="G359">
        <f>IF(companyyn347="既存コードに追加",1,0)</f>
        <v>0</v>
      </c>
      <c r="H359" t="str">
        <f>companycode347&amp;""</f>
        <v/>
      </c>
      <c r="I359" t="str">
        <f>IF(accelikkatsu347="","希望しない",accelikkatsu347)</f>
        <v>希望しない</v>
      </c>
      <c r="J359" t="str">
        <f>IF(belugabunyn347="","なし",belugabunyn347)</f>
        <v>なし</v>
      </c>
      <c r="K359" t="str">
        <f>belugabun347&amp;""</f>
        <v/>
      </c>
      <c r="L359" t="b">
        <f>shutoku347</f>
        <v>0</v>
      </c>
    </row>
    <row r="360" spans="1:12">
      <c r="A360">
        <v>348</v>
      </c>
      <c r="B360" t="str">
        <f>IF(moushikubun348="","追加",moushikubun348)</f>
        <v>追加</v>
      </c>
      <c r="C360" t="str">
        <f>shubetsu348&amp;""</f>
        <v/>
      </c>
      <c r="D360" t="str">
        <f>billid348&amp;""</f>
        <v/>
      </c>
      <c r="E360" t="str">
        <f>UPPER(SUBSTITUTE(番明[[#This Row],[ご請求番号]],"-",""))</f>
        <v/>
      </c>
      <c r="F360" t="str">
        <f>keiyakuid348&amp;""</f>
        <v/>
      </c>
      <c r="G360">
        <f>IF(companyyn348="既存コードに追加",1,0)</f>
        <v>0</v>
      </c>
      <c r="H360" t="str">
        <f>companycode348&amp;""</f>
        <v/>
      </c>
      <c r="I360" t="str">
        <f>IF(accelikkatsu348="","希望しない",accelikkatsu348)</f>
        <v>希望しない</v>
      </c>
      <c r="J360" t="str">
        <f>IF(belugabunyn348="","なし",belugabunyn348)</f>
        <v>なし</v>
      </c>
      <c r="K360" t="str">
        <f>belugabun348&amp;""</f>
        <v/>
      </c>
      <c r="L360" t="b">
        <f>shutoku348</f>
        <v>0</v>
      </c>
    </row>
    <row r="361" spans="1:12">
      <c r="A361">
        <v>349</v>
      </c>
      <c r="B361" t="str">
        <f>IF(moushikubun349="","追加",moushikubun349)</f>
        <v>追加</v>
      </c>
      <c r="C361" t="str">
        <f>shubetsu349&amp;""</f>
        <v/>
      </c>
      <c r="D361" t="str">
        <f>billid349&amp;""</f>
        <v/>
      </c>
      <c r="E361" t="str">
        <f>UPPER(SUBSTITUTE(番明[[#This Row],[ご請求番号]],"-",""))</f>
        <v/>
      </c>
      <c r="F361" t="str">
        <f>keiyakuid349&amp;""</f>
        <v/>
      </c>
      <c r="G361">
        <f>IF(companyyn349="既存コードに追加",1,0)</f>
        <v>0</v>
      </c>
      <c r="H361" t="str">
        <f>companycode349&amp;""</f>
        <v/>
      </c>
      <c r="I361" t="str">
        <f>IF(accelikkatsu349="","希望しない",accelikkatsu349)</f>
        <v>希望しない</v>
      </c>
      <c r="J361" t="str">
        <f>IF(belugabunyn349="","なし",belugabunyn349)</f>
        <v>なし</v>
      </c>
      <c r="K361" t="str">
        <f>belugabun349&amp;""</f>
        <v/>
      </c>
      <c r="L361" t="b">
        <f>shutoku349</f>
        <v>0</v>
      </c>
    </row>
    <row r="362" spans="1:12">
      <c r="A362">
        <v>350</v>
      </c>
      <c r="B362" t="str">
        <f>IF(moushikubun350="","追加",moushikubun350)</f>
        <v>追加</v>
      </c>
      <c r="C362" t="str">
        <f>shubetsu350&amp;""</f>
        <v/>
      </c>
      <c r="D362" t="str">
        <f>billid350&amp;""</f>
        <v/>
      </c>
      <c r="E362" t="str">
        <f>UPPER(SUBSTITUTE(番明[[#This Row],[ご請求番号]],"-",""))</f>
        <v/>
      </c>
      <c r="F362" t="str">
        <f>keiyakuid350&amp;""</f>
        <v/>
      </c>
      <c r="G362">
        <f>IF(companyyn350="既存コードに追加",1,0)</f>
        <v>0</v>
      </c>
      <c r="H362" t="str">
        <f>companycode350&amp;""</f>
        <v/>
      </c>
      <c r="I362" t="str">
        <f>IF(accelikkatsu350="","希望しない",accelikkatsu350)</f>
        <v>希望しない</v>
      </c>
      <c r="J362" t="str">
        <f>IF(belugabunyn350="","なし",belugabunyn350)</f>
        <v>なし</v>
      </c>
      <c r="K362" t="str">
        <f>belugabun350&amp;""</f>
        <v/>
      </c>
      <c r="L362" t="b">
        <f>shutoku350</f>
        <v>0</v>
      </c>
    </row>
    <row r="363" spans="1:12">
      <c r="A363">
        <v>351</v>
      </c>
      <c r="B363" t="str">
        <f>IF(moushikubun351="","追加",moushikubun351)</f>
        <v>追加</v>
      </c>
      <c r="C363" t="str">
        <f>shubetsu351&amp;""</f>
        <v/>
      </c>
      <c r="D363" t="str">
        <f>billid351&amp;""</f>
        <v/>
      </c>
      <c r="E363" t="str">
        <f>UPPER(SUBSTITUTE(番明[[#This Row],[ご請求番号]],"-",""))</f>
        <v/>
      </c>
      <c r="F363" t="str">
        <f>keiyakuid351&amp;""</f>
        <v/>
      </c>
      <c r="G363">
        <f>IF(companyyn351="既存コードに追加",1,0)</f>
        <v>0</v>
      </c>
      <c r="H363" t="str">
        <f>companycode351&amp;""</f>
        <v/>
      </c>
      <c r="I363" t="str">
        <f>IF(accelikkatsu351="","希望しない",accelikkatsu351)</f>
        <v>希望しない</v>
      </c>
      <c r="J363" t="str">
        <f>IF(belugabunyn351="","なし",belugabunyn351)</f>
        <v>なし</v>
      </c>
      <c r="K363" t="str">
        <f>belugabun351&amp;""</f>
        <v/>
      </c>
      <c r="L363" t="b">
        <f>shutoku351</f>
        <v>0</v>
      </c>
    </row>
    <row r="364" spans="1:12">
      <c r="A364">
        <v>352</v>
      </c>
      <c r="B364" t="str">
        <f>IF(moushikubun352="","追加",moushikubun352)</f>
        <v>追加</v>
      </c>
      <c r="C364" t="str">
        <f>shubetsu352&amp;""</f>
        <v/>
      </c>
      <c r="D364" t="str">
        <f>billid352&amp;""</f>
        <v/>
      </c>
      <c r="E364" t="str">
        <f>UPPER(SUBSTITUTE(番明[[#This Row],[ご請求番号]],"-",""))</f>
        <v/>
      </c>
      <c r="F364" t="str">
        <f>keiyakuid352&amp;""</f>
        <v/>
      </c>
      <c r="G364">
        <f>IF(companyyn352="既存コードに追加",1,0)</f>
        <v>0</v>
      </c>
      <c r="H364" t="str">
        <f>companycode352&amp;""</f>
        <v/>
      </c>
      <c r="I364" t="str">
        <f>IF(accelikkatsu352="","希望しない",accelikkatsu352)</f>
        <v>希望しない</v>
      </c>
      <c r="J364" t="str">
        <f>IF(belugabunyn352="","なし",belugabunyn352)</f>
        <v>なし</v>
      </c>
      <c r="K364" t="str">
        <f>belugabun352&amp;""</f>
        <v/>
      </c>
      <c r="L364" t="b">
        <f>shutoku352</f>
        <v>0</v>
      </c>
    </row>
    <row r="365" spans="1:12">
      <c r="A365">
        <v>353</v>
      </c>
      <c r="B365" t="str">
        <f>IF(moushikubun353="","追加",moushikubun353)</f>
        <v>追加</v>
      </c>
      <c r="C365" t="str">
        <f>shubetsu353&amp;""</f>
        <v/>
      </c>
      <c r="D365" t="str">
        <f>billid353&amp;""</f>
        <v/>
      </c>
      <c r="E365" t="str">
        <f>UPPER(SUBSTITUTE(番明[[#This Row],[ご請求番号]],"-",""))</f>
        <v/>
      </c>
      <c r="F365" t="str">
        <f>keiyakuid353&amp;""</f>
        <v/>
      </c>
      <c r="G365">
        <f>IF(companyyn353="既存コードに追加",1,0)</f>
        <v>0</v>
      </c>
      <c r="H365" t="str">
        <f>companycode353&amp;""</f>
        <v/>
      </c>
      <c r="I365" t="str">
        <f>IF(accelikkatsu353="","希望しない",accelikkatsu353)</f>
        <v>希望しない</v>
      </c>
      <c r="J365" t="str">
        <f>IF(belugabunyn353="","なし",belugabunyn353)</f>
        <v>なし</v>
      </c>
      <c r="K365" t="str">
        <f>belugabun353&amp;""</f>
        <v/>
      </c>
      <c r="L365" t="b">
        <f>shutoku353</f>
        <v>0</v>
      </c>
    </row>
    <row r="366" spans="1:12">
      <c r="A366">
        <v>354</v>
      </c>
      <c r="B366" t="str">
        <f>IF(moushikubun354="","追加",moushikubun354)</f>
        <v>追加</v>
      </c>
      <c r="C366" t="str">
        <f>shubetsu354&amp;""</f>
        <v/>
      </c>
      <c r="D366" t="str">
        <f>billid354&amp;""</f>
        <v/>
      </c>
      <c r="E366" t="str">
        <f>UPPER(SUBSTITUTE(番明[[#This Row],[ご請求番号]],"-",""))</f>
        <v/>
      </c>
      <c r="F366" t="str">
        <f>keiyakuid354&amp;""</f>
        <v/>
      </c>
      <c r="G366">
        <f>IF(companyyn354="既存コードに追加",1,0)</f>
        <v>0</v>
      </c>
      <c r="H366" t="str">
        <f>companycode354&amp;""</f>
        <v/>
      </c>
      <c r="I366" t="str">
        <f>IF(accelikkatsu354="","希望しない",accelikkatsu354)</f>
        <v>希望しない</v>
      </c>
      <c r="J366" t="str">
        <f>IF(belugabunyn354="","なし",belugabunyn354)</f>
        <v>なし</v>
      </c>
      <c r="K366" t="str">
        <f>belugabun354&amp;""</f>
        <v/>
      </c>
      <c r="L366" t="b">
        <f>shutoku354</f>
        <v>0</v>
      </c>
    </row>
    <row r="367" spans="1:12">
      <c r="A367">
        <v>355</v>
      </c>
      <c r="B367" t="str">
        <f>IF(moushikubun355="","追加",moushikubun355)</f>
        <v>追加</v>
      </c>
      <c r="C367" t="str">
        <f>shubetsu355&amp;""</f>
        <v/>
      </c>
      <c r="D367" t="str">
        <f>billid355&amp;""</f>
        <v/>
      </c>
      <c r="E367" t="str">
        <f>UPPER(SUBSTITUTE(番明[[#This Row],[ご請求番号]],"-",""))</f>
        <v/>
      </c>
      <c r="F367" t="str">
        <f>keiyakuid355&amp;""</f>
        <v/>
      </c>
      <c r="G367">
        <f>IF(companyyn355="既存コードに追加",1,0)</f>
        <v>0</v>
      </c>
      <c r="H367" t="str">
        <f>companycode355&amp;""</f>
        <v/>
      </c>
      <c r="I367" t="str">
        <f>IF(accelikkatsu355="","希望しない",accelikkatsu355)</f>
        <v>希望しない</v>
      </c>
      <c r="J367" t="str">
        <f>IF(belugabunyn355="","なし",belugabunyn355)</f>
        <v>なし</v>
      </c>
      <c r="K367" t="str">
        <f>belugabun355&amp;""</f>
        <v/>
      </c>
      <c r="L367" t="b">
        <f>shutoku355</f>
        <v>0</v>
      </c>
    </row>
    <row r="368" spans="1:12">
      <c r="A368">
        <v>356</v>
      </c>
      <c r="B368" t="str">
        <f>IF(moushikubun356="","追加",moushikubun356)</f>
        <v>追加</v>
      </c>
      <c r="C368" t="str">
        <f>shubetsu356&amp;""</f>
        <v/>
      </c>
      <c r="D368" t="str">
        <f>billid356&amp;""</f>
        <v/>
      </c>
      <c r="E368" t="str">
        <f>UPPER(SUBSTITUTE(番明[[#This Row],[ご請求番号]],"-",""))</f>
        <v/>
      </c>
      <c r="F368" t="str">
        <f>keiyakuid356&amp;""</f>
        <v/>
      </c>
      <c r="G368">
        <f>IF(companyyn356="既存コードに追加",1,0)</f>
        <v>0</v>
      </c>
      <c r="H368" t="str">
        <f>companycode356&amp;""</f>
        <v/>
      </c>
      <c r="I368" t="str">
        <f>IF(accelikkatsu356="","希望しない",accelikkatsu356)</f>
        <v>希望しない</v>
      </c>
      <c r="J368" t="str">
        <f>IF(belugabunyn356="","なし",belugabunyn356)</f>
        <v>なし</v>
      </c>
      <c r="K368" t="str">
        <f>belugabun356&amp;""</f>
        <v/>
      </c>
      <c r="L368" t="b">
        <f>shutoku356</f>
        <v>0</v>
      </c>
    </row>
    <row r="369" spans="1:12">
      <c r="A369">
        <v>357</v>
      </c>
      <c r="B369" t="str">
        <f>IF(moushikubun357="","追加",moushikubun357)</f>
        <v>追加</v>
      </c>
      <c r="C369" t="str">
        <f>shubetsu357&amp;""</f>
        <v/>
      </c>
      <c r="D369" t="str">
        <f>billid357&amp;""</f>
        <v/>
      </c>
      <c r="E369" t="str">
        <f>UPPER(SUBSTITUTE(番明[[#This Row],[ご請求番号]],"-",""))</f>
        <v/>
      </c>
      <c r="F369" t="str">
        <f>keiyakuid357&amp;""</f>
        <v/>
      </c>
      <c r="G369">
        <f>IF(companyyn357="既存コードに追加",1,0)</f>
        <v>0</v>
      </c>
      <c r="H369" t="str">
        <f>companycode357&amp;""</f>
        <v/>
      </c>
      <c r="I369" t="str">
        <f>IF(accelikkatsu357="","希望しない",accelikkatsu357)</f>
        <v>希望しない</v>
      </c>
      <c r="J369" t="str">
        <f>IF(belugabunyn357="","なし",belugabunyn357)</f>
        <v>なし</v>
      </c>
      <c r="K369" t="str">
        <f>belugabun357&amp;""</f>
        <v/>
      </c>
      <c r="L369" t="b">
        <f>shutoku357</f>
        <v>0</v>
      </c>
    </row>
    <row r="370" spans="1:12">
      <c r="A370">
        <v>358</v>
      </c>
      <c r="B370" t="str">
        <f>IF(moushikubun358="","追加",moushikubun358)</f>
        <v>追加</v>
      </c>
      <c r="C370" t="str">
        <f>shubetsu358&amp;""</f>
        <v/>
      </c>
      <c r="D370" t="str">
        <f>billid358&amp;""</f>
        <v/>
      </c>
      <c r="E370" t="str">
        <f>UPPER(SUBSTITUTE(番明[[#This Row],[ご請求番号]],"-",""))</f>
        <v/>
      </c>
      <c r="F370" t="str">
        <f>keiyakuid358&amp;""</f>
        <v/>
      </c>
      <c r="G370">
        <f>IF(companyyn358="既存コードに追加",1,0)</f>
        <v>0</v>
      </c>
      <c r="H370" t="str">
        <f>companycode358&amp;""</f>
        <v/>
      </c>
      <c r="I370" t="str">
        <f>IF(accelikkatsu358="","希望しない",accelikkatsu358)</f>
        <v>希望しない</v>
      </c>
      <c r="J370" t="str">
        <f>IF(belugabunyn358="","なし",belugabunyn358)</f>
        <v>なし</v>
      </c>
      <c r="K370" t="str">
        <f>belugabun358&amp;""</f>
        <v/>
      </c>
      <c r="L370" t="b">
        <f>shutoku358</f>
        <v>0</v>
      </c>
    </row>
    <row r="371" spans="1:12">
      <c r="A371">
        <v>359</v>
      </c>
      <c r="B371" t="str">
        <f>IF(moushikubun359="","追加",moushikubun359)</f>
        <v>追加</v>
      </c>
      <c r="C371" t="str">
        <f>shubetsu359&amp;""</f>
        <v/>
      </c>
      <c r="D371" t="str">
        <f>billid359&amp;""</f>
        <v/>
      </c>
      <c r="E371" t="str">
        <f>UPPER(SUBSTITUTE(番明[[#This Row],[ご請求番号]],"-",""))</f>
        <v/>
      </c>
      <c r="F371" t="str">
        <f>keiyakuid359&amp;""</f>
        <v/>
      </c>
      <c r="G371">
        <f>IF(companyyn359="既存コードに追加",1,0)</f>
        <v>0</v>
      </c>
      <c r="H371" t="str">
        <f>companycode359&amp;""</f>
        <v/>
      </c>
      <c r="I371" t="str">
        <f>IF(accelikkatsu359="","希望しない",accelikkatsu359)</f>
        <v>希望しない</v>
      </c>
      <c r="J371" t="str">
        <f>IF(belugabunyn359="","なし",belugabunyn359)</f>
        <v>なし</v>
      </c>
      <c r="K371" t="str">
        <f>belugabun359&amp;""</f>
        <v/>
      </c>
      <c r="L371" t="b">
        <f>shutoku359</f>
        <v>0</v>
      </c>
    </row>
    <row r="372" spans="1:12">
      <c r="A372">
        <v>360</v>
      </c>
      <c r="B372" t="str">
        <f>IF(moushikubun360="","追加",moushikubun360)</f>
        <v>追加</v>
      </c>
      <c r="C372" t="str">
        <f>shubetsu360&amp;""</f>
        <v/>
      </c>
      <c r="D372" t="str">
        <f>billid360&amp;""</f>
        <v/>
      </c>
      <c r="E372" t="str">
        <f>UPPER(SUBSTITUTE(番明[[#This Row],[ご請求番号]],"-",""))</f>
        <v/>
      </c>
      <c r="F372" t="str">
        <f>keiyakuid360&amp;""</f>
        <v/>
      </c>
      <c r="G372">
        <f>IF(companyyn360="既存コードに追加",1,0)</f>
        <v>0</v>
      </c>
      <c r="H372" t="str">
        <f>companycode360&amp;""</f>
        <v/>
      </c>
      <c r="I372" t="str">
        <f>IF(accelikkatsu360="","希望しない",accelikkatsu360)</f>
        <v>希望しない</v>
      </c>
      <c r="J372" t="str">
        <f>IF(belugabunyn360="","なし",belugabunyn360)</f>
        <v>なし</v>
      </c>
      <c r="K372" t="str">
        <f>belugabun360&amp;""</f>
        <v/>
      </c>
      <c r="L372" t="b">
        <f>shutoku360</f>
        <v>0</v>
      </c>
    </row>
    <row r="373" spans="1:12">
      <c r="A373">
        <v>361</v>
      </c>
      <c r="B373" t="str">
        <f>IF(moushikubun361="","追加",moushikubun361)</f>
        <v>追加</v>
      </c>
      <c r="C373" t="str">
        <f>shubetsu361&amp;""</f>
        <v/>
      </c>
      <c r="D373" t="str">
        <f>billid361&amp;""</f>
        <v/>
      </c>
      <c r="E373" t="str">
        <f>UPPER(SUBSTITUTE(番明[[#This Row],[ご請求番号]],"-",""))</f>
        <v/>
      </c>
      <c r="F373" t="str">
        <f>keiyakuid361&amp;""</f>
        <v/>
      </c>
      <c r="G373">
        <f>IF(companyyn361="既存コードに追加",1,0)</f>
        <v>0</v>
      </c>
      <c r="H373" t="str">
        <f>companycode361&amp;""</f>
        <v/>
      </c>
      <c r="I373" t="str">
        <f>IF(accelikkatsu361="","希望しない",accelikkatsu361)</f>
        <v>希望しない</v>
      </c>
      <c r="J373" t="str">
        <f>IF(belugabunyn361="","なし",belugabunyn361)</f>
        <v>なし</v>
      </c>
      <c r="K373" t="str">
        <f>belugabun361&amp;""</f>
        <v/>
      </c>
      <c r="L373" t="b">
        <f>shutoku361</f>
        <v>0</v>
      </c>
    </row>
    <row r="374" spans="1:12">
      <c r="A374">
        <v>362</v>
      </c>
      <c r="B374" t="str">
        <f>IF(moushikubun362="","追加",moushikubun362)</f>
        <v>追加</v>
      </c>
      <c r="C374" t="str">
        <f>shubetsu362&amp;""</f>
        <v/>
      </c>
      <c r="D374" t="str">
        <f>billid362&amp;""</f>
        <v/>
      </c>
      <c r="E374" t="str">
        <f>UPPER(SUBSTITUTE(番明[[#This Row],[ご請求番号]],"-",""))</f>
        <v/>
      </c>
      <c r="F374" t="str">
        <f>keiyakuid362&amp;""</f>
        <v/>
      </c>
      <c r="G374">
        <f>IF(companyyn362="既存コードに追加",1,0)</f>
        <v>0</v>
      </c>
      <c r="H374" t="str">
        <f>companycode362&amp;""</f>
        <v/>
      </c>
      <c r="I374" t="str">
        <f>IF(accelikkatsu362="","希望しない",accelikkatsu362)</f>
        <v>希望しない</v>
      </c>
      <c r="J374" t="str">
        <f>IF(belugabunyn362="","なし",belugabunyn362)</f>
        <v>なし</v>
      </c>
      <c r="K374" t="str">
        <f>belugabun362&amp;""</f>
        <v/>
      </c>
      <c r="L374" t="b">
        <f>shutoku362</f>
        <v>0</v>
      </c>
    </row>
    <row r="375" spans="1:12">
      <c r="A375">
        <v>363</v>
      </c>
      <c r="B375" t="str">
        <f>IF(moushikubun363="","追加",moushikubun363)</f>
        <v>追加</v>
      </c>
      <c r="C375" t="str">
        <f>shubetsu363&amp;""</f>
        <v/>
      </c>
      <c r="D375" t="str">
        <f>billid363&amp;""</f>
        <v/>
      </c>
      <c r="E375" t="str">
        <f>UPPER(SUBSTITUTE(番明[[#This Row],[ご請求番号]],"-",""))</f>
        <v/>
      </c>
      <c r="F375" t="str">
        <f>keiyakuid363&amp;""</f>
        <v/>
      </c>
      <c r="G375">
        <f>IF(companyyn363="既存コードに追加",1,0)</f>
        <v>0</v>
      </c>
      <c r="H375" t="str">
        <f>companycode363&amp;""</f>
        <v/>
      </c>
      <c r="I375" t="str">
        <f>IF(accelikkatsu363="","希望しない",accelikkatsu363)</f>
        <v>希望しない</v>
      </c>
      <c r="J375" t="str">
        <f>IF(belugabunyn363="","なし",belugabunyn363)</f>
        <v>なし</v>
      </c>
      <c r="K375" t="str">
        <f>belugabun363&amp;""</f>
        <v/>
      </c>
      <c r="L375" t="b">
        <f>shutoku363</f>
        <v>0</v>
      </c>
    </row>
    <row r="376" spans="1:12">
      <c r="A376">
        <v>364</v>
      </c>
      <c r="B376" t="str">
        <f>IF(moushikubun364="","追加",moushikubun364)</f>
        <v>追加</v>
      </c>
      <c r="C376" t="str">
        <f>shubetsu364&amp;""</f>
        <v/>
      </c>
      <c r="D376" t="str">
        <f>billid364&amp;""</f>
        <v/>
      </c>
      <c r="E376" t="str">
        <f>UPPER(SUBSTITUTE(番明[[#This Row],[ご請求番号]],"-",""))</f>
        <v/>
      </c>
      <c r="F376" t="str">
        <f>keiyakuid364&amp;""</f>
        <v/>
      </c>
      <c r="G376">
        <f>IF(companyyn364="既存コードに追加",1,0)</f>
        <v>0</v>
      </c>
      <c r="H376" t="str">
        <f>companycode364&amp;""</f>
        <v/>
      </c>
      <c r="I376" t="str">
        <f>IF(accelikkatsu364="","希望しない",accelikkatsu364)</f>
        <v>希望しない</v>
      </c>
      <c r="J376" t="str">
        <f>IF(belugabunyn364="","なし",belugabunyn364)</f>
        <v>なし</v>
      </c>
      <c r="K376" t="str">
        <f>belugabun364&amp;""</f>
        <v/>
      </c>
      <c r="L376" t="b">
        <f>shutoku364</f>
        <v>0</v>
      </c>
    </row>
    <row r="377" spans="1:12">
      <c r="A377">
        <v>365</v>
      </c>
      <c r="B377" t="str">
        <f>IF(moushikubun365="","追加",moushikubun365)</f>
        <v>追加</v>
      </c>
      <c r="C377" t="str">
        <f>shubetsu365&amp;""</f>
        <v/>
      </c>
      <c r="D377" t="str">
        <f>billid365&amp;""</f>
        <v/>
      </c>
      <c r="E377" t="str">
        <f>UPPER(SUBSTITUTE(番明[[#This Row],[ご請求番号]],"-",""))</f>
        <v/>
      </c>
      <c r="F377" t="str">
        <f>keiyakuid365&amp;""</f>
        <v/>
      </c>
      <c r="G377">
        <f>IF(companyyn365="既存コードに追加",1,0)</f>
        <v>0</v>
      </c>
      <c r="H377" t="str">
        <f>companycode365&amp;""</f>
        <v/>
      </c>
      <c r="I377" t="str">
        <f>IF(accelikkatsu365="","希望しない",accelikkatsu365)</f>
        <v>希望しない</v>
      </c>
      <c r="J377" t="str">
        <f>IF(belugabunyn365="","なし",belugabunyn365)</f>
        <v>なし</v>
      </c>
      <c r="K377" t="str">
        <f>belugabun365&amp;""</f>
        <v/>
      </c>
      <c r="L377" t="b">
        <f>shutoku365</f>
        <v>0</v>
      </c>
    </row>
    <row r="378" spans="1:12">
      <c r="A378">
        <v>366</v>
      </c>
      <c r="B378" t="str">
        <f>IF(moushikubun366="","追加",moushikubun366)</f>
        <v>追加</v>
      </c>
      <c r="C378" t="str">
        <f>shubetsu366&amp;""</f>
        <v/>
      </c>
      <c r="D378" t="str">
        <f>billid366&amp;""</f>
        <v/>
      </c>
      <c r="E378" t="str">
        <f>UPPER(SUBSTITUTE(番明[[#This Row],[ご請求番号]],"-",""))</f>
        <v/>
      </c>
      <c r="F378" t="str">
        <f>keiyakuid366&amp;""</f>
        <v/>
      </c>
      <c r="G378">
        <f>IF(companyyn366="既存コードに追加",1,0)</f>
        <v>0</v>
      </c>
      <c r="H378" t="str">
        <f>companycode366&amp;""</f>
        <v/>
      </c>
      <c r="I378" t="str">
        <f>IF(accelikkatsu366="","希望しない",accelikkatsu366)</f>
        <v>希望しない</v>
      </c>
      <c r="J378" t="str">
        <f>IF(belugabunyn366="","なし",belugabunyn366)</f>
        <v>なし</v>
      </c>
      <c r="K378" t="str">
        <f>belugabun366&amp;""</f>
        <v/>
      </c>
      <c r="L378" t="b">
        <f>shutoku366</f>
        <v>0</v>
      </c>
    </row>
    <row r="379" spans="1:12">
      <c r="A379">
        <v>367</v>
      </c>
      <c r="B379" t="str">
        <f>IF(moushikubun367="","追加",moushikubun367)</f>
        <v>追加</v>
      </c>
      <c r="C379" t="str">
        <f>shubetsu367&amp;""</f>
        <v/>
      </c>
      <c r="D379" t="str">
        <f>billid367&amp;""</f>
        <v/>
      </c>
      <c r="E379" t="str">
        <f>UPPER(SUBSTITUTE(番明[[#This Row],[ご請求番号]],"-",""))</f>
        <v/>
      </c>
      <c r="F379" t="str">
        <f>keiyakuid367&amp;""</f>
        <v/>
      </c>
      <c r="G379">
        <f>IF(companyyn367="既存コードに追加",1,0)</f>
        <v>0</v>
      </c>
      <c r="H379" t="str">
        <f>companycode367&amp;""</f>
        <v/>
      </c>
      <c r="I379" t="str">
        <f>IF(accelikkatsu367="","希望しない",accelikkatsu367)</f>
        <v>希望しない</v>
      </c>
      <c r="J379" t="str">
        <f>IF(belugabunyn367="","なし",belugabunyn367)</f>
        <v>なし</v>
      </c>
      <c r="K379" t="str">
        <f>belugabun367&amp;""</f>
        <v/>
      </c>
      <c r="L379" t="b">
        <f>shutoku367</f>
        <v>0</v>
      </c>
    </row>
    <row r="380" spans="1:12">
      <c r="A380">
        <v>368</v>
      </c>
      <c r="B380" t="str">
        <f>IF(moushikubun368="","追加",moushikubun368)</f>
        <v>追加</v>
      </c>
      <c r="C380" t="str">
        <f>shubetsu368&amp;""</f>
        <v/>
      </c>
      <c r="D380" t="str">
        <f>billid368&amp;""</f>
        <v/>
      </c>
      <c r="E380" t="str">
        <f>UPPER(SUBSTITUTE(番明[[#This Row],[ご請求番号]],"-",""))</f>
        <v/>
      </c>
      <c r="F380" t="str">
        <f>keiyakuid368&amp;""</f>
        <v/>
      </c>
      <c r="G380">
        <f>IF(companyyn368="既存コードに追加",1,0)</f>
        <v>0</v>
      </c>
      <c r="H380" t="str">
        <f>companycode368&amp;""</f>
        <v/>
      </c>
      <c r="I380" t="str">
        <f>IF(accelikkatsu368="","希望しない",accelikkatsu368)</f>
        <v>希望しない</v>
      </c>
      <c r="J380" t="str">
        <f>IF(belugabunyn368="","なし",belugabunyn368)</f>
        <v>なし</v>
      </c>
      <c r="K380" t="str">
        <f>belugabun368&amp;""</f>
        <v/>
      </c>
      <c r="L380" t="b">
        <f>shutoku368</f>
        <v>0</v>
      </c>
    </row>
    <row r="381" spans="1:12">
      <c r="A381">
        <v>369</v>
      </c>
      <c r="B381" t="str">
        <f>IF(moushikubun369="","追加",moushikubun369)</f>
        <v>追加</v>
      </c>
      <c r="C381" t="str">
        <f>shubetsu369&amp;""</f>
        <v/>
      </c>
      <c r="D381" t="str">
        <f>billid369&amp;""</f>
        <v/>
      </c>
      <c r="E381" t="str">
        <f>UPPER(SUBSTITUTE(番明[[#This Row],[ご請求番号]],"-",""))</f>
        <v/>
      </c>
      <c r="F381" t="str">
        <f>keiyakuid369&amp;""</f>
        <v/>
      </c>
      <c r="G381">
        <f>IF(companyyn369="既存コードに追加",1,0)</f>
        <v>0</v>
      </c>
      <c r="H381" t="str">
        <f>companycode369&amp;""</f>
        <v/>
      </c>
      <c r="I381" t="str">
        <f>IF(accelikkatsu369="","希望しない",accelikkatsu369)</f>
        <v>希望しない</v>
      </c>
      <c r="J381" t="str">
        <f>IF(belugabunyn369="","なし",belugabunyn369)</f>
        <v>なし</v>
      </c>
      <c r="K381" t="str">
        <f>belugabun369&amp;""</f>
        <v/>
      </c>
      <c r="L381" t="b">
        <f>shutoku369</f>
        <v>0</v>
      </c>
    </row>
    <row r="382" spans="1:12">
      <c r="A382">
        <v>370</v>
      </c>
      <c r="B382" t="str">
        <f>IF(moushikubun370="","追加",moushikubun370)</f>
        <v>追加</v>
      </c>
      <c r="C382" t="str">
        <f>shubetsu370&amp;""</f>
        <v/>
      </c>
      <c r="D382" t="str">
        <f>billid370&amp;""</f>
        <v/>
      </c>
      <c r="E382" t="str">
        <f>UPPER(SUBSTITUTE(番明[[#This Row],[ご請求番号]],"-",""))</f>
        <v/>
      </c>
      <c r="F382" t="str">
        <f>keiyakuid370&amp;""</f>
        <v/>
      </c>
      <c r="G382">
        <f>IF(companyyn370="既存コードに追加",1,0)</f>
        <v>0</v>
      </c>
      <c r="H382" t="str">
        <f>companycode370&amp;""</f>
        <v/>
      </c>
      <c r="I382" t="str">
        <f>IF(accelikkatsu370="","希望しない",accelikkatsu370)</f>
        <v>希望しない</v>
      </c>
      <c r="J382" t="str">
        <f>IF(belugabunyn370="","なし",belugabunyn370)</f>
        <v>なし</v>
      </c>
      <c r="K382" t="str">
        <f>belugabun370&amp;""</f>
        <v/>
      </c>
      <c r="L382" t="b">
        <f>shutoku370</f>
        <v>0</v>
      </c>
    </row>
    <row r="383" spans="1:12">
      <c r="A383">
        <v>371</v>
      </c>
      <c r="B383" t="str">
        <f>IF(moushikubun371="","追加",moushikubun371)</f>
        <v>追加</v>
      </c>
      <c r="C383" t="str">
        <f>shubetsu371&amp;""</f>
        <v/>
      </c>
      <c r="D383" t="str">
        <f>billid371&amp;""</f>
        <v/>
      </c>
      <c r="E383" t="str">
        <f>UPPER(SUBSTITUTE(番明[[#This Row],[ご請求番号]],"-",""))</f>
        <v/>
      </c>
      <c r="F383" t="str">
        <f>keiyakuid371&amp;""</f>
        <v/>
      </c>
      <c r="G383">
        <f>IF(companyyn371="既存コードに追加",1,0)</f>
        <v>0</v>
      </c>
      <c r="H383" t="str">
        <f>companycode371&amp;""</f>
        <v/>
      </c>
      <c r="I383" t="str">
        <f>IF(accelikkatsu371="","希望しない",accelikkatsu371)</f>
        <v>希望しない</v>
      </c>
      <c r="J383" t="str">
        <f>IF(belugabunyn371="","なし",belugabunyn371)</f>
        <v>なし</v>
      </c>
      <c r="K383" t="str">
        <f>belugabun371&amp;""</f>
        <v/>
      </c>
      <c r="L383" t="b">
        <f>shutoku371</f>
        <v>0</v>
      </c>
    </row>
    <row r="384" spans="1:12">
      <c r="A384">
        <v>372</v>
      </c>
      <c r="B384" t="str">
        <f>IF(moushikubun372="","追加",moushikubun372)</f>
        <v>追加</v>
      </c>
      <c r="C384" t="str">
        <f>shubetsu372&amp;""</f>
        <v/>
      </c>
      <c r="D384" t="str">
        <f>billid372&amp;""</f>
        <v/>
      </c>
      <c r="E384" t="str">
        <f>UPPER(SUBSTITUTE(番明[[#This Row],[ご請求番号]],"-",""))</f>
        <v/>
      </c>
      <c r="F384" t="str">
        <f>keiyakuid372&amp;""</f>
        <v/>
      </c>
      <c r="G384">
        <f>IF(companyyn372="既存コードに追加",1,0)</f>
        <v>0</v>
      </c>
      <c r="H384" t="str">
        <f>companycode372&amp;""</f>
        <v/>
      </c>
      <c r="I384" t="str">
        <f>IF(accelikkatsu372="","希望しない",accelikkatsu372)</f>
        <v>希望しない</v>
      </c>
      <c r="J384" t="str">
        <f>IF(belugabunyn372="","なし",belugabunyn372)</f>
        <v>なし</v>
      </c>
      <c r="K384" t="str">
        <f>belugabun372&amp;""</f>
        <v/>
      </c>
      <c r="L384" t="b">
        <f>shutoku372</f>
        <v>0</v>
      </c>
    </row>
    <row r="385" spans="1:12">
      <c r="A385">
        <v>373</v>
      </c>
      <c r="B385" t="str">
        <f>IF(moushikubun373="","追加",moushikubun373)</f>
        <v>追加</v>
      </c>
      <c r="C385" t="str">
        <f>shubetsu373&amp;""</f>
        <v/>
      </c>
      <c r="D385" t="str">
        <f>billid373&amp;""</f>
        <v/>
      </c>
      <c r="E385" t="str">
        <f>UPPER(SUBSTITUTE(番明[[#This Row],[ご請求番号]],"-",""))</f>
        <v/>
      </c>
      <c r="F385" t="str">
        <f>keiyakuid373&amp;""</f>
        <v/>
      </c>
      <c r="G385">
        <f>IF(companyyn373="既存コードに追加",1,0)</f>
        <v>0</v>
      </c>
      <c r="H385" t="str">
        <f>companycode373&amp;""</f>
        <v/>
      </c>
      <c r="I385" t="str">
        <f>IF(accelikkatsu373="","希望しない",accelikkatsu373)</f>
        <v>希望しない</v>
      </c>
      <c r="J385" t="str">
        <f>IF(belugabunyn373="","なし",belugabunyn373)</f>
        <v>なし</v>
      </c>
      <c r="K385" t="str">
        <f>belugabun373&amp;""</f>
        <v/>
      </c>
      <c r="L385" t="b">
        <f>shutoku373</f>
        <v>0</v>
      </c>
    </row>
    <row r="386" spans="1:12">
      <c r="A386">
        <v>374</v>
      </c>
      <c r="B386" t="str">
        <f>IF(moushikubun374="","追加",moushikubun374)</f>
        <v>追加</v>
      </c>
      <c r="C386" t="str">
        <f>shubetsu374&amp;""</f>
        <v/>
      </c>
      <c r="D386" t="str">
        <f>billid374&amp;""</f>
        <v/>
      </c>
      <c r="E386" t="str">
        <f>UPPER(SUBSTITUTE(番明[[#This Row],[ご請求番号]],"-",""))</f>
        <v/>
      </c>
      <c r="F386" t="str">
        <f>keiyakuid374&amp;""</f>
        <v/>
      </c>
      <c r="G386">
        <f>IF(companyyn374="既存コードに追加",1,0)</f>
        <v>0</v>
      </c>
      <c r="H386" t="str">
        <f>companycode374&amp;""</f>
        <v/>
      </c>
      <c r="I386" t="str">
        <f>IF(accelikkatsu374="","希望しない",accelikkatsu374)</f>
        <v>希望しない</v>
      </c>
      <c r="J386" t="str">
        <f>IF(belugabunyn374="","なし",belugabunyn374)</f>
        <v>なし</v>
      </c>
      <c r="K386" t="str">
        <f>belugabun374&amp;""</f>
        <v/>
      </c>
      <c r="L386" t="b">
        <f>shutoku374</f>
        <v>0</v>
      </c>
    </row>
    <row r="387" spans="1:12">
      <c r="A387">
        <v>375</v>
      </c>
      <c r="B387" t="str">
        <f>IF(moushikubun375="","追加",moushikubun375)</f>
        <v>追加</v>
      </c>
      <c r="C387" t="str">
        <f>shubetsu375&amp;""</f>
        <v/>
      </c>
      <c r="D387" t="str">
        <f>billid375&amp;""</f>
        <v/>
      </c>
      <c r="E387" t="str">
        <f>UPPER(SUBSTITUTE(番明[[#This Row],[ご請求番号]],"-",""))</f>
        <v/>
      </c>
      <c r="F387" t="str">
        <f>keiyakuid375&amp;""</f>
        <v/>
      </c>
      <c r="G387">
        <f>IF(companyyn375="既存コードに追加",1,0)</f>
        <v>0</v>
      </c>
      <c r="H387" t="str">
        <f>companycode375&amp;""</f>
        <v/>
      </c>
      <c r="I387" t="str">
        <f>IF(accelikkatsu375="","希望しない",accelikkatsu375)</f>
        <v>希望しない</v>
      </c>
      <c r="J387" t="str">
        <f>IF(belugabunyn375="","なし",belugabunyn375)</f>
        <v>なし</v>
      </c>
      <c r="K387" t="str">
        <f>belugabun375&amp;""</f>
        <v/>
      </c>
      <c r="L387" t="b">
        <f>shutoku375</f>
        <v>0</v>
      </c>
    </row>
    <row r="388" spans="1:12">
      <c r="A388">
        <v>376</v>
      </c>
      <c r="B388" t="str">
        <f>IF(moushikubun376="","追加",moushikubun376)</f>
        <v>追加</v>
      </c>
      <c r="C388" t="str">
        <f>shubetsu376&amp;""</f>
        <v/>
      </c>
      <c r="D388" t="str">
        <f>billid376&amp;""</f>
        <v/>
      </c>
      <c r="E388" t="str">
        <f>UPPER(SUBSTITUTE(番明[[#This Row],[ご請求番号]],"-",""))</f>
        <v/>
      </c>
      <c r="F388" t="str">
        <f>keiyakuid376&amp;""</f>
        <v/>
      </c>
      <c r="G388">
        <f>IF(companyyn376="既存コードに追加",1,0)</f>
        <v>0</v>
      </c>
      <c r="H388" t="str">
        <f>companycode376&amp;""</f>
        <v/>
      </c>
      <c r="I388" t="str">
        <f>IF(accelikkatsu376="","希望しない",accelikkatsu376)</f>
        <v>希望しない</v>
      </c>
      <c r="J388" t="str">
        <f>IF(belugabunyn376="","なし",belugabunyn376)</f>
        <v>なし</v>
      </c>
      <c r="K388" t="str">
        <f>belugabun376&amp;""</f>
        <v/>
      </c>
      <c r="L388" t="b">
        <f>shutoku376</f>
        <v>0</v>
      </c>
    </row>
    <row r="389" spans="1:12">
      <c r="A389">
        <v>377</v>
      </c>
      <c r="B389" t="str">
        <f>IF(moushikubun377="","追加",moushikubun377)</f>
        <v>追加</v>
      </c>
      <c r="C389" t="str">
        <f>shubetsu377&amp;""</f>
        <v/>
      </c>
      <c r="D389" t="str">
        <f>billid377&amp;""</f>
        <v/>
      </c>
      <c r="E389" t="str">
        <f>UPPER(SUBSTITUTE(番明[[#This Row],[ご請求番号]],"-",""))</f>
        <v/>
      </c>
      <c r="F389" t="str">
        <f>keiyakuid377&amp;""</f>
        <v/>
      </c>
      <c r="G389">
        <f>IF(companyyn377="既存コードに追加",1,0)</f>
        <v>0</v>
      </c>
      <c r="H389" t="str">
        <f>companycode377&amp;""</f>
        <v/>
      </c>
      <c r="I389" t="str">
        <f>IF(accelikkatsu377="","希望しない",accelikkatsu377)</f>
        <v>希望しない</v>
      </c>
      <c r="J389" t="str">
        <f>IF(belugabunyn377="","なし",belugabunyn377)</f>
        <v>なし</v>
      </c>
      <c r="K389" t="str">
        <f>belugabun377&amp;""</f>
        <v/>
      </c>
      <c r="L389" t="b">
        <f>shutoku377</f>
        <v>0</v>
      </c>
    </row>
    <row r="390" spans="1:12">
      <c r="A390">
        <v>378</v>
      </c>
      <c r="B390" t="str">
        <f>IF(moushikubun378="","追加",moushikubun378)</f>
        <v>追加</v>
      </c>
      <c r="C390" t="str">
        <f>shubetsu378&amp;""</f>
        <v/>
      </c>
      <c r="D390" t="str">
        <f>billid378&amp;""</f>
        <v/>
      </c>
      <c r="E390" t="str">
        <f>UPPER(SUBSTITUTE(番明[[#This Row],[ご請求番号]],"-",""))</f>
        <v/>
      </c>
      <c r="F390" t="str">
        <f>keiyakuid378&amp;""</f>
        <v/>
      </c>
      <c r="G390">
        <f>IF(companyyn378="既存コードに追加",1,0)</f>
        <v>0</v>
      </c>
      <c r="H390" t="str">
        <f>companycode378&amp;""</f>
        <v/>
      </c>
      <c r="I390" t="str">
        <f>IF(accelikkatsu378="","希望しない",accelikkatsu378)</f>
        <v>希望しない</v>
      </c>
      <c r="J390" t="str">
        <f>IF(belugabunyn378="","なし",belugabunyn378)</f>
        <v>なし</v>
      </c>
      <c r="K390" t="str">
        <f>belugabun378&amp;""</f>
        <v/>
      </c>
      <c r="L390" t="b">
        <f>shutoku378</f>
        <v>0</v>
      </c>
    </row>
    <row r="391" spans="1:12">
      <c r="A391">
        <v>379</v>
      </c>
      <c r="B391" t="str">
        <f>IF(moushikubun379="","追加",moushikubun379)</f>
        <v>追加</v>
      </c>
      <c r="C391" t="str">
        <f>shubetsu379&amp;""</f>
        <v/>
      </c>
      <c r="D391" t="str">
        <f>billid379&amp;""</f>
        <v/>
      </c>
      <c r="E391" t="str">
        <f>UPPER(SUBSTITUTE(番明[[#This Row],[ご請求番号]],"-",""))</f>
        <v/>
      </c>
      <c r="F391" t="str">
        <f>keiyakuid379&amp;""</f>
        <v/>
      </c>
      <c r="G391">
        <f>IF(companyyn379="既存コードに追加",1,0)</f>
        <v>0</v>
      </c>
      <c r="H391" t="str">
        <f>companycode379&amp;""</f>
        <v/>
      </c>
      <c r="I391" t="str">
        <f>IF(accelikkatsu379="","希望しない",accelikkatsu379)</f>
        <v>希望しない</v>
      </c>
      <c r="J391" t="str">
        <f>IF(belugabunyn379="","なし",belugabunyn379)</f>
        <v>なし</v>
      </c>
      <c r="K391" t="str">
        <f>belugabun379&amp;""</f>
        <v/>
      </c>
      <c r="L391" t="b">
        <f>shutoku379</f>
        <v>0</v>
      </c>
    </row>
    <row r="392" spans="1:12">
      <c r="A392">
        <v>380</v>
      </c>
      <c r="B392" t="str">
        <f>IF(moushikubun380="","追加",moushikubun380)</f>
        <v>追加</v>
      </c>
      <c r="C392" t="str">
        <f>shubetsu380&amp;""</f>
        <v/>
      </c>
      <c r="D392" t="str">
        <f>billid380&amp;""</f>
        <v/>
      </c>
      <c r="E392" t="str">
        <f>UPPER(SUBSTITUTE(番明[[#This Row],[ご請求番号]],"-",""))</f>
        <v/>
      </c>
      <c r="F392" t="str">
        <f>keiyakuid380&amp;""</f>
        <v/>
      </c>
      <c r="G392">
        <f>IF(companyyn380="既存コードに追加",1,0)</f>
        <v>0</v>
      </c>
      <c r="H392" t="str">
        <f>companycode380&amp;""</f>
        <v/>
      </c>
      <c r="I392" t="str">
        <f>IF(accelikkatsu380="","希望しない",accelikkatsu380)</f>
        <v>希望しない</v>
      </c>
      <c r="J392" t="str">
        <f>IF(belugabunyn380="","なし",belugabunyn380)</f>
        <v>なし</v>
      </c>
      <c r="K392" t="str">
        <f>belugabun380&amp;""</f>
        <v/>
      </c>
      <c r="L392" t="b">
        <f>shutoku380</f>
        <v>0</v>
      </c>
    </row>
    <row r="393" spans="1:12">
      <c r="A393">
        <v>381</v>
      </c>
      <c r="B393" t="str">
        <f>IF(moushikubun381="","追加",moushikubun381)</f>
        <v>追加</v>
      </c>
      <c r="C393" t="str">
        <f>shubetsu381&amp;""</f>
        <v/>
      </c>
      <c r="D393" t="str">
        <f>billid381&amp;""</f>
        <v/>
      </c>
      <c r="E393" t="str">
        <f>UPPER(SUBSTITUTE(番明[[#This Row],[ご請求番号]],"-",""))</f>
        <v/>
      </c>
      <c r="F393" t="str">
        <f>keiyakuid381&amp;""</f>
        <v/>
      </c>
      <c r="G393">
        <f>IF(companyyn381="既存コードに追加",1,0)</f>
        <v>0</v>
      </c>
      <c r="H393" t="str">
        <f>companycode381&amp;""</f>
        <v/>
      </c>
      <c r="I393" t="str">
        <f>IF(accelikkatsu381="","希望しない",accelikkatsu381)</f>
        <v>希望しない</v>
      </c>
      <c r="J393" t="str">
        <f>IF(belugabunyn381="","なし",belugabunyn381)</f>
        <v>なし</v>
      </c>
      <c r="K393" t="str">
        <f>belugabun381&amp;""</f>
        <v/>
      </c>
      <c r="L393" t="b">
        <f>shutoku381</f>
        <v>0</v>
      </c>
    </row>
    <row r="394" spans="1:12">
      <c r="A394">
        <v>382</v>
      </c>
      <c r="B394" t="str">
        <f>IF(moushikubun382="","追加",moushikubun382)</f>
        <v>追加</v>
      </c>
      <c r="C394" t="str">
        <f>shubetsu382&amp;""</f>
        <v/>
      </c>
      <c r="D394" t="str">
        <f>billid382&amp;""</f>
        <v/>
      </c>
      <c r="E394" t="str">
        <f>UPPER(SUBSTITUTE(番明[[#This Row],[ご請求番号]],"-",""))</f>
        <v/>
      </c>
      <c r="F394" t="str">
        <f>keiyakuid382&amp;""</f>
        <v/>
      </c>
      <c r="G394">
        <f>IF(companyyn382="既存コードに追加",1,0)</f>
        <v>0</v>
      </c>
      <c r="H394" t="str">
        <f>companycode382&amp;""</f>
        <v/>
      </c>
      <c r="I394" t="str">
        <f>IF(accelikkatsu382="","希望しない",accelikkatsu382)</f>
        <v>希望しない</v>
      </c>
      <c r="J394" t="str">
        <f>IF(belugabunyn382="","なし",belugabunyn382)</f>
        <v>なし</v>
      </c>
      <c r="K394" t="str">
        <f>belugabun382&amp;""</f>
        <v/>
      </c>
      <c r="L394" t="b">
        <f>shutoku382</f>
        <v>0</v>
      </c>
    </row>
    <row r="395" spans="1:12">
      <c r="A395">
        <v>383</v>
      </c>
      <c r="B395" t="str">
        <f>IF(moushikubun383="","追加",moushikubun383)</f>
        <v>追加</v>
      </c>
      <c r="C395" t="str">
        <f>shubetsu383&amp;""</f>
        <v/>
      </c>
      <c r="D395" t="str">
        <f>billid383&amp;""</f>
        <v/>
      </c>
      <c r="E395" t="str">
        <f>UPPER(SUBSTITUTE(番明[[#This Row],[ご請求番号]],"-",""))</f>
        <v/>
      </c>
      <c r="F395" t="str">
        <f>keiyakuid383&amp;""</f>
        <v/>
      </c>
      <c r="G395">
        <f>IF(companyyn383="既存コードに追加",1,0)</f>
        <v>0</v>
      </c>
      <c r="H395" t="str">
        <f>companycode383&amp;""</f>
        <v/>
      </c>
      <c r="I395" t="str">
        <f>IF(accelikkatsu383="","希望しない",accelikkatsu383)</f>
        <v>希望しない</v>
      </c>
      <c r="J395" t="str">
        <f>IF(belugabunyn383="","なし",belugabunyn383)</f>
        <v>なし</v>
      </c>
      <c r="K395" t="str">
        <f>belugabun383&amp;""</f>
        <v/>
      </c>
      <c r="L395" t="b">
        <f>shutoku383</f>
        <v>0</v>
      </c>
    </row>
    <row r="396" spans="1:12">
      <c r="A396">
        <v>384</v>
      </c>
      <c r="B396" t="str">
        <f>IF(moushikubun384="","追加",moushikubun384)</f>
        <v>追加</v>
      </c>
      <c r="C396" t="str">
        <f>shubetsu384&amp;""</f>
        <v/>
      </c>
      <c r="D396" t="str">
        <f>billid384&amp;""</f>
        <v/>
      </c>
      <c r="E396" t="str">
        <f>UPPER(SUBSTITUTE(番明[[#This Row],[ご請求番号]],"-",""))</f>
        <v/>
      </c>
      <c r="F396" t="str">
        <f>keiyakuid384&amp;""</f>
        <v/>
      </c>
      <c r="G396">
        <f>IF(companyyn384="既存コードに追加",1,0)</f>
        <v>0</v>
      </c>
      <c r="H396" t="str">
        <f>companycode384&amp;""</f>
        <v/>
      </c>
      <c r="I396" t="str">
        <f>IF(accelikkatsu384="","希望しない",accelikkatsu384)</f>
        <v>希望しない</v>
      </c>
      <c r="J396" t="str">
        <f>IF(belugabunyn384="","なし",belugabunyn384)</f>
        <v>なし</v>
      </c>
      <c r="K396" t="str">
        <f>belugabun384&amp;""</f>
        <v/>
      </c>
      <c r="L396" t="b">
        <f>shutoku384</f>
        <v>0</v>
      </c>
    </row>
    <row r="397" spans="1:12">
      <c r="A397">
        <v>385</v>
      </c>
      <c r="B397" t="str">
        <f>IF(moushikubun385="","追加",moushikubun385)</f>
        <v>追加</v>
      </c>
      <c r="C397" t="str">
        <f>shubetsu385&amp;""</f>
        <v/>
      </c>
      <c r="D397" t="str">
        <f>billid385&amp;""</f>
        <v/>
      </c>
      <c r="E397" t="str">
        <f>UPPER(SUBSTITUTE(番明[[#This Row],[ご請求番号]],"-",""))</f>
        <v/>
      </c>
      <c r="F397" t="str">
        <f>keiyakuid385&amp;""</f>
        <v/>
      </c>
      <c r="G397">
        <f>IF(companyyn385="既存コードに追加",1,0)</f>
        <v>0</v>
      </c>
      <c r="H397" t="str">
        <f>companycode385&amp;""</f>
        <v/>
      </c>
      <c r="I397" t="str">
        <f>IF(accelikkatsu385="","希望しない",accelikkatsu385)</f>
        <v>希望しない</v>
      </c>
      <c r="J397" t="str">
        <f>IF(belugabunyn385="","なし",belugabunyn385)</f>
        <v>なし</v>
      </c>
      <c r="K397" t="str">
        <f>belugabun385&amp;""</f>
        <v/>
      </c>
      <c r="L397" t="b">
        <f>shutoku385</f>
        <v>0</v>
      </c>
    </row>
    <row r="398" spans="1:12">
      <c r="A398">
        <v>386</v>
      </c>
      <c r="B398" t="str">
        <f>IF(moushikubun386="","追加",moushikubun386)</f>
        <v>追加</v>
      </c>
      <c r="C398" t="str">
        <f>shubetsu386&amp;""</f>
        <v/>
      </c>
      <c r="D398" t="str">
        <f>billid386&amp;""</f>
        <v/>
      </c>
      <c r="E398" t="str">
        <f>UPPER(SUBSTITUTE(番明[[#This Row],[ご請求番号]],"-",""))</f>
        <v/>
      </c>
      <c r="F398" t="str">
        <f>keiyakuid386&amp;""</f>
        <v/>
      </c>
      <c r="G398">
        <f>IF(companyyn386="既存コードに追加",1,0)</f>
        <v>0</v>
      </c>
      <c r="H398" t="str">
        <f>companycode386&amp;""</f>
        <v/>
      </c>
      <c r="I398" t="str">
        <f>IF(accelikkatsu386="","希望しない",accelikkatsu386)</f>
        <v>希望しない</v>
      </c>
      <c r="J398" t="str">
        <f>IF(belugabunyn386="","なし",belugabunyn386)</f>
        <v>なし</v>
      </c>
      <c r="K398" t="str">
        <f>belugabun386&amp;""</f>
        <v/>
      </c>
      <c r="L398" t="b">
        <f>shutoku386</f>
        <v>0</v>
      </c>
    </row>
    <row r="399" spans="1:12">
      <c r="A399">
        <v>387</v>
      </c>
      <c r="B399" t="str">
        <f>IF(moushikubun387="","追加",moushikubun387)</f>
        <v>追加</v>
      </c>
      <c r="C399" t="str">
        <f>shubetsu387&amp;""</f>
        <v/>
      </c>
      <c r="D399" t="str">
        <f>billid387&amp;""</f>
        <v/>
      </c>
      <c r="E399" t="str">
        <f>UPPER(SUBSTITUTE(番明[[#This Row],[ご請求番号]],"-",""))</f>
        <v/>
      </c>
      <c r="F399" t="str">
        <f>keiyakuid387&amp;""</f>
        <v/>
      </c>
      <c r="G399">
        <f>IF(companyyn387="既存コードに追加",1,0)</f>
        <v>0</v>
      </c>
      <c r="H399" t="str">
        <f>companycode387&amp;""</f>
        <v/>
      </c>
      <c r="I399" t="str">
        <f>IF(accelikkatsu387="","希望しない",accelikkatsu387)</f>
        <v>希望しない</v>
      </c>
      <c r="J399" t="str">
        <f>IF(belugabunyn387="","なし",belugabunyn387)</f>
        <v>なし</v>
      </c>
      <c r="K399" t="str">
        <f>belugabun387&amp;""</f>
        <v/>
      </c>
      <c r="L399" t="b">
        <f>shutoku387</f>
        <v>0</v>
      </c>
    </row>
    <row r="400" spans="1:12">
      <c r="A400">
        <v>388</v>
      </c>
      <c r="B400" t="str">
        <f>IF(moushikubun388="","追加",moushikubun388)</f>
        <v>追加</v>
      </c>
      <c r="C400" t="str">
        <f>shubetsu388&amp;""</f>
        <v/>
      </c>
      <c r="D400" t="str">
        <f>billid388&amp;""</f>
        <v/>
      </c>
      <c r="E400" t="str">
        <f>UPPER(SUBSTITUTE(番明[[#This Row],[ご請求番号]],"-",""))</f>
        <v/>
      </c>
      <c r="F400" t="str">
        <f>keiyakuid388&amp;""</f>
        <v/>
      </c>
      <c r="G400">
        <f>IF(companyyn388="既存コードに追加",1,0)</f>
        <v>0</v>
      </c>
      <c r="H400" t="str">
        <f>companycode388&amp;""</f>
        <v/>
      </c>
      <c r="I400" t="str">
        <f>IF(accelikkatsu388="","希望しない",accelikkatsu388)</f>
        <v>希望しない</v>
      </c>
      <c r="J400" t="str">
        <f>IF(belugabunyn388="","なし",belugabunyn388)</f>
        <v>なし</v>
      </c>
      <c r="K400" t="str">
        <f>belugabun388&amp;""</f>
        <v/>
      </c>
      <c r="L400" t="b">
        <f>shutoku388</f>
        <v>0</v>
      </c>
    </row>
    <row r="401" spans="1:12">
      <c r="A401">
        <v>389</v>
      </c>
      <c r="B401" t="str">
        <f>IF(moushikubun389="","追加",moushikubun389)</f>
        <v>追加</v>
      </c>
      <c r="C401" t="str">
        <f>shubetsu389&amp;""</f>
        <v/>
      </c>
      <c r="D401" t="str">
        <f>billid389&amp;""</f>
        <v/>
      </c>
      <c r="E401" t="str">
        <f>UPPER(SUBSTITUTE(番明[[#This Row],[ご請求番号]],"-",""))</f>
        <v/>
      </c>
      <c r="F401" t="str">
        <f>keiyakuid389&amp;""</f>
        <v/>
      </c>
      <c r="G401">
        <f>IF(companyyn389="既存コードに追加",1,0)</f>
        <v>0</v>
      </c>
      <c r="H401" t="str">
        <f>companycode389&amp;""</f>
        <v/>
      </c>
      <c r="I401" t="str">
        <f>IF(accelikkatsu389="","希望しない",accelikkatsu389)</f>
        <v>希望しない</v>
      </c>
      <c r="J401" t="str">
        <f>IF(belugabunyn389="","なし",belugabunyn389)</f>
        <v>なし</v>
      </c>
      <c r="K401" t="str">
        <f>belugabun389&amp;""</f>
        <v/>
      </c>
      <c r="L401" t="b">
        <f>shutoku389</f>
        <v>0</v>
      </c>
    </row>
    <row r="402" spans="1:12">
      <c r="A402">
        <v>390</v>
      </c>
      <c r="B402" t="str">
        <f>IF(moushikubun390="","追加",moushikubun390)</f>
        <v>追加</v>
      </c>
      <c r="C402" t="str">
        <f>shubetsu390&amp;""</f>
        <v/>
      </c>
      <c r="D402" t="str">
        <f>billid390&amp;""</f>
        <v/>
      </c>
      <c r="E402" t="str">
        <f>UPPER(SUBSTITUTE(番明[[#This Row],[ご請求番号]],"-",""))</f>
        <v/>
      </c>
      <c r="F402" t="str">
        <f>keiyakuid390&amp;""</f>
        <v/>
      </c>
      <c r="G402">
        <f>IF(companyyn390="既存コードに追加",1,0)</f>
        <v>0</v>
      </c>
      <c r="H402" t="str">
        <f>companycode390&amp;""</f>
        <v/>
      </c>
      <c r="I402" t="str">
        <f>IF(accelikkatsu390="","希望しない",accelikkatsu390)</f>
        <v>希望しない</v>
      </c>
      <c r="J402" t="str">
        <f>IF(belugabunyn390="","なし",belugabunyn390)</f>
        <v>なし</v>
      </c>
      <c r="K402" t="str">
        <f>belugabun390&amp;""</f>
        <v/>
      </c>
      <c r="L402" t="b">
        <f>shutoku390</f>
        <v>0</v>
      </c>
    </row>
    <row r="403" spans="1:12">
      <c r="A403">
        <v>391</v>
      </c>
      <c r="B403" t="str">
        <f>IF(moushikubun391="","追加",moushikubun391)</f>
        <v>追加</v>
      </c>
      <c r="C403" t="str">
        <f>shubetsu391&amp;""</f>
        <v/>
      </c>
      <c r="D403" t="str">
        <f>billid391&amp;""</f>
        <v/>
      </c>
      <c r="E403" t="str">
        <f>UPPER(SUBSTITUTE(番明[[#This Row],[ご請求番号]],"-",""))</f>
        <v/>
      </c>
      <c r="F403" t="str">
        <f>keiyakuid391&amp;""</f>
        <v/>
      </c>
      <c r="G403">
        <f>IF(companyyn391="既存コードに追加",1,0)</f>
        <v>0</v>
      </c>
      <c r="H403" t="str">
        <f>companycode391&amp;""</f>
        <v/>
      </c>
      <c r="I403" t="str">
        <f>IF(accelikkatsu391="","希望しない",accelikkatsu391)</f>
        <v>希望しない</v>
      </c>
      <c r="J403" t="str">
        <f>IF(belugabunyn391="","なし",belugabunyn391)</f>
        <v>なし</v>
      </c>
      <c r="K403" t="str">
        <f>belugabun391&amp;""</f>
        <v/>
      </c>
      <c r="L403" t="b">
        <f>shutoku391</f>
        <v>0</v>
      </c>
    </row>
    <row r="404" spans="1:12">
      <c r="A404">
        <v>392</v>
      </c>
      <c r="B404" t="str">
        <f>IF(moushikubun392="","追加",moushikubun392)</f>
        <v>追加</v>
      </c>
      <c r="C404" t="str">
        <f>shubetsu392&amp;""</f>
        <v/>
      </c>
      <c r="D404" t="str">
        <f>billid392&amp;""</f>
        <v/>
      </c>
      <c r="E404" t="str">
        <f>UPPER(SUBSTITUTE(番明[[#This Row],[ご請求番号]],"-",""))</f>
        <v/>
      </c>
      <c r="F404" t="str">
        <f>keiyakuid392&amp;""</f>
        <v/>
      </c>
      <c r="G404">
        <f>IF(companyyn392="既存コードに追加",1,0)</f>
        <v>0</v>
      </c>
      <c r="H404" t="str">
        <f>companycode392&amp;""</f>
        <v/>
      </c>
      <c r="I404" t="str">
        <f>IF(accelikkatsu392="","希望しない",accelikkatsu392)</f>
        <v>希望しない</v>
      </c>
      <c r="J404" t="str">
        <f>IF(belugabunyn392="","なし",belugabunyn392)</f>
        <v>なし</v>
      </c>
      <c r="K404" t="str">
        <f>belugabun392&amp;""</f>
        <v/>
      </c>
      <c r="L404" t="b">
        <f>shutoku392</f>
        <v>0</v>
      </c>
    </row>
    <row r="405" spans="1:12">
      <c r="A405">
        <v>393</v>
      </c>
      <c r="B405" t="str">
        <f>IF(moushikubun393="","追加",moushikubun393)</f>
        <v>追加</v>
      </c>
      <c r="C405" t="str">
        <f>shubetsu393&amp;""</f>
        <v/>
      </c>
      <c r="D405" t="str">
        <f>billid393&amp;""</f>
        <v/>
      </c>
      <c r="E405" t="str">
        <f>UPPER(SUBSTITUTE(番明[[#This Row],[ご請求番号]],"-",""))</f>
        <v/>
      </c>
      <c r="F405" t="str">
        <f>keiyakuid393&amp;""</f>
        <v/>
      </c>
      <c r="G405">
        <f>IF(companyyn393="既存コードに追加",1,0)</f>
        <v>0</v>
      </c>
      <c r="H405" t="str">
        <f>companycode393&amp;""</f>
        <v/>
      </c>
      <c r="I405" t="str">
        <f>IF(accelikkatsu393="","希望しない",accelikkatsu393)</f>
        <v>希望しない</v>
      </c>
      <c r="J405" t="str">
        <f>IF(belugabunyn393="","なし",belugabunyn393)</f>
        <v>なし</v>
      </c>
      <c r="K405" t="str">
        <f>belugabun393&amp;""</f>
        <v/>
      </c>
      <c r="L405" t="b">
        <f>shutoku393</f>
        <v>0</v>
      </c>
    </row>
    <row r="406" spans="1:12">
      <c r="A406">
        <v>394</v>
      </c>
      <c r="B406" t="str">
        <f>IF(moushikubun394="","追加",moushikubun394)</f>
        <v>追加</v>
      </c>
      <c r="C406" t="str">
        <f>shubetsu394&amp;""</f>
        <v/>
      </c>
      <c r="D406" t="str">
        <f>billid394&amp;""</f>
        <v/>
      </c>
      <c r="E406" t="str">
        <f>UPPER(SUBSTITUTE(番明[[#This Row],[ご請求番号]],"-",""))</f>
        <v/>
      </c>
      <c r="F406" t="str">
        <f>keiyakuid394&amp;""</f>
        <v/>
      </c>
      <c r="G406">
        <f>IF(companyyn394="既存コードに追加",1,0)</f>
        <v>0</v>
      </c>
      <c r="H406" t="str">
        <f>companycode394&amp;""</f>
        <v/>
      </c>
      <c r="I406" t="str">
        <f>IF(accelikkatsu394="","希望しない",accelikkatsu394)</f>
        <v>希望しない</v>
      </c>
      <c r="J406" t="str">
        <f>IF(belugabunyn394="","なし",belugabunyn394)</f>
        <v>なし</v>
      </c>
      <c r="K406" t="str">
        <f>belugabun394&amp;""</f>
        <v/>
      </c>
      <c r="L406" t="b">
        <f>shutoku394</f>
        <v>0</v>
      </c>
    </row>
    <row r="407" spans="1:12">
      <c r="A407">
        <v>395</v>
      </c>
      <c r="B407" t="str">
        <f>IF(moushikubun395="","追加",moushikubun395)</f>
        <v>追加</v>
      </c>
      <c r="C407" t="str">
        <f>shubetsu395&amp;""</f>
        <v/>
      </c>
      <c r="D407" t="str">
        <f>billid395&amp;""</f>
        <v/>
      </c>
      <c r="E407" t="str">
        <f>UPPER(SUBSTITUTE(番明[[#This Row],[ご請求番号]],"-",""))</f>
        <v/>
      </c>
      <c r="F407" t="str">
        <f>keiyakuid395&amp;""</f>
        <v/>
      </c>
      <c r="G407">
        <f>IF(companyyn395="既存コードに追加",1,0)</f>
        <v>0</v>
      </c>
      <c r="H407" t="str">
        <f>companycode395&amp;""</f>
        <v/>
      </c>
      <c r="I407" t="str">
        <f>IF(accelikkatsu395="","希望しない",accelikkatsu395)</f>
        <v>希望しない</v>
      </c>
      <c r="J407" t="str">
        <f>IF(belugabunyn395="","なし",belugabunyn395)</f>
        <v>なし</v>
      </c>
      <c r="K407" t="str">
        <f>belugabun395&amp;""</f>
        <v/>
      </c>
      <c r="L407" t="b">
        <f>shutoku395</f>
        <v>0</v>
      </c>
    </row>
    <row r="408" spans="1:12">
      <c r="A408">
        <v>396</v>
      </c>
      <c r="B408" t="str">
        <f>IF(moushikubun396="","追加",moushikubun396)</f>
        <v>追加</v>
      </c>
      <c r="C408" t="str">
        <f>shubetsu396&amp;""</f>
        <v/>
      </c>
      <c r="D408" t="str">
        <f>billid396&amp;""</f>
        <v/>
      </c>
      <c r="E408" t="str">
        <f>UPPER(SUBSTITUTE(番明[[#This Row],[ご請求番号]],"-",""))</f>
        <v/>
      </c>
      <c r="F408" t="str">
        <f>keiyakuid396&amp;""</f>
        <v/>
      </c>
      <c r="G408">
        <f>IF(companyyn396="既存コードに追加",1,0)</f>
        <v>0</v>
      </c>
      <c r="H408" t="str">
        <f>companycode396&amp;""</f>
        <v/>
      </c>
      <c r="I408" t="str">
        <f>IF(accelikkatsu396="","希望しない",accelikkatsu396)</f>
        <v>希望しない</v>
      </c>
      <c r="J408" t="str">
        <f>IF(belugabunyn396="","なし",belugabunyn396)</f>
        <v>なし</v>
      </c>
      <c r="K408" t="str">
        <f>belugabun396&amp;""</f>
        <v/>
      </c>
      <c r="L408" t="b">
        <f>shutoku396</f>
        <v>0</v>
      </c>
    </row>
    <row r="409" spans="1:12">
      <c r="A409">
        <v>397</v>
      </c>
      <c r="B409" t="str">
        <f>IF(moushikubun397="","追加",moushikubun397)</f>
        <v>追加</v>
      </c>
      <c r="C409" t="str">
        <f>shubetsu397&amp;""</f>
        <v/>
      </c>
      <c r="D409" t="str">
        <f>billid397&amp;""</f>
        <v/>
      </c>
      <c r="E409" t="str">
        <f>UPPER(SUBSTITUTE(番明[[#This Row],[ご請求番号]],"-",""))</f>
        <v/>
      </c>
      <c r="F409" t="str">
        <f>keiyakuid397&amp;""</f>
        <v/>
      </c>
      <c r="G409">
        <f>IF(companyyn397="既存コードに追加",1,0)</f>
        <v>0</v>
      </c>
      <c r="H409" t="str">
        <f>companycode397&amp;""</f>
        <v/>
      </c>
      <c r="I409" t="str">
        <f>IF(accelikkatsu397="","希望しない",accelikkatsu397)</f>
        <v>希望しない</v>
      </c>
      <c r="J409" t="str">
        <f>IF(belugabunyn397="","なし",belugabunyn397)</f>
        <v>なし</v>
      </c>
      <c r="K409" t="str">
        <f>belugabun397&amp;""</f>
        <v/>
      </c>
      <c r="L409" t="b">
        <f>shutoku397</f>
        <v>0</v>
      </c>
    </row>
    <row r="410" spans="1:12">
      <c r="A410">
        <v>398</v>
      </c>
      <c r="B410" t="str">
        <f>IF(moushikubun398="","追加",moushikubun398)</f>
        <v>追加</v>
      </c>
      <c r="C410" t="str">
        <f>shubetsu398&amp;""</f>
        <v/>
      </c>
      <c r="D410" t="str">
        <f>billid398&amp;""</f>
        <v/>
      </c>
      <c r="E410" t="str">
        <f>UPPER(SUBSTITUTE(番明[[#This Row],[ご請求番号]],"-",""))</f>
        <v/>
      </c>
      <c r="F410" t="str">
        <f>keiyakuid398&amp;""</f>
        <v/>
      </c>
      <c r="G410">
        <f>IF(companyyn398="既存コードに追加",1,0)</f>
        <v>0</v>
      </c>
      <c r="H410" t="str">
        <f>companycode398&amp;""</f>
        <v/>
      </c>
      <c r="I410" t="str">
        <f>IF(accelikkatsu398="","希望しない",accelikkatsu398)</f>
        <v>希望しない</v>
      </c>
      <c r="J410" t="str">
        <f>IF(belugabunyn398="","なし",belugabunyn398)</f>
        <v>なし</v>
      </c>
      <c r="K410" t="str">
        <f>belugabun398&amp;""</f>
        <v/>
      </c>
      <c r="L410" t="b">
        <f>shutoku398</f>
        <v>0</v>
      </c>
    </row>
    <row r="411" spans="1:12">
      <c r="A411">
        <v>399</v>
      </c>
      <c r="B411" t="str">
        <f>IF(moushikubun399="","追加",moushikubun399)</f>
        <v>追加</v>
      </c>
      <c r="C411" t="str">
        <f>shubetsu399&amp;""</f>
        <v/>
      </c>
      <c r="D411" t="str">
        <f>billid399&amp;""</f>
        <v/>
      </c>
      <c r="E411" t="str">
        <f>UPPER(SUBSTITUTE(番明[[#This Row],[ご請求番号]],"-",""))</f>
        <v/>
      </c>
      <c r="F411" t="str">
        <f>keiyakuid399&amp;""</f>
        <v/>
      </c>
      <c r="G411">
        <f>IF(companyyn399="既存コードに追加",1,0)</f>
        <v>0</v>
      </c>
      <c r="H411" t="str">
        <f>companycode399&amp;""</f>
        <v/>
      </c>
      <c r="I411" t="str">
        <f>IF(accelikkatsu399="","希望しない",accelikkatsu399)</f>
        <v>希望しない</v>
      </c>
      <c r="J411" t="str">
        <f>IF(belugabunyn399="","なし",belugabunyn399)</f>
        <v>なし</v>
      </c>
      <c r="K411" t="str">
        <f>belugabun399&amp;""</f>
        <v/>
      </c>
      <c r="L411" t="b">
        <f>shutoku399</f>
        <v>0</v>
      </c>
    </row>
    <row r="412" spans="1:12">
      <c r="A412">
        <v>400</v>
      </c>
      <c r="B412" t="str">
        <f>IF(moushikubun400="","追加",moushikubun400)</f>
        <v>追加</v>
      </c>
      <c r="C412" t="str">
        <f>shubetsu400&amp;""</f>
        <v/>
      </c>
      <c r="D412" t="str">
        <f>billid400&amp;""</f>
        <v/>
      </c>
      <c r="E412" t="str">
        <f>UPPER(SUBSTITUTE(番明[[#This Row],[ご請求番号]],"-",""))</f>
        <v/>
      </c>
      <c r="F412" t="str">
        <f>keiyakuid400&amp;""</f>
        <v/>
      </c>
      <c r="G412">
        <f>IF(companyyn400="既存コードに追加",1,0)</f>
        <v>0</v>
      </c>
      <c r="H412" t="str">
        <f>companycode400&amp;""</f>
        <v/>
      </c>
      <c r="I412" t="str">
        <f>IF(accelikkatsu400="","希望しない",accelikkatsu400)</f>
        <v>希望しない</v>
      </c>
      <c r="J412" t="str">
        <f>IF(belugabunyn400="","なし",belugabunyn400)</f>
        <v>なし</v>
      </c>
      <c r="K412" t="str">
        <f>belugabun400&amp;""</f>
        <v/>
      </c>
      <c r="L412" t="b">
        <f>shutoku400</f>
        <v>0</v>
      </c>
    </row>
    <row r="413" spans="1:12">
      <c r="A413">
        <v>401</v>
      </c>
      <c r="B413" t="str">
        <f>IF(moushikubun401="","追加",moushikubun401)</f>
        <v>追加</v>
      </c>
      <c r="C413" t="str">
        <f>shubetsu401&amp;""</f>
        <v/>
      </c>
      <c r="D413" t="str">
        <f>billid401&amp;""</f>
        <v/>
      </c>
      <c r="E413" t="str">
        <f>UPPER(SUBSTITUTE(番明[[#This Row],[ご請求番号]],"-",""))</f>
        <v/>
      </c>
      <c r="F413" t="str">
        <f>keiyakuid401&amp;""</f>
        <v/>
      </c>
      <c r="G413">
        <f>IF(companyyn401="既存コードに追加",1,0)</f>
        <v>0</v>
      </c>
      <c r="H413" t="str">
        <f>companycode401&amp;""</f>
        <v/>
      </c>
      <c r="I413" t="str">
        <f>IF(accelikkatsu401="","希望しない",accelikkatsu401)</f>
        <v>希望しない</v>
      </c>
      <c r="J413" t="str">
        <f>IF(belugabunyn401="","なし",belugabunyn401)</f>
        <v>なし</v>
      </c>
      <c r="K413" t="str">
        <f>belugabun401&amp;""</f>
        <v/>
      </c>
      <c r="L413" t="b">
        <f>shutoku401</f>
        <v>0</v>
      </c>
    </row>
    <row r="414" spans="1:12">
      <c r="A414">
        <v>402</v>
      </c>
      <c r="B414" t="str">
        <f>IF(moushikubun402="","追加",moushikubun402)</f>
        <v>追加</v>
      </c>
      <c r="C414" t="str">
        <f>shubetsu402&amp;""</f>
        <v/>
      </c>
      <c r="D414" t="str">
        <f>billid402&amp;""</f>
        <v/>
      </c>
      <c r="E414" t="str">
        <f>UPPER(SUBSTITUTE(番明[[#This Row],[ご請求番号]],"-",""))</f>
        <v/>
      </c>
      <c r="F414" t="str">
        <f>keiyakuid402&amp;""</f>
        <v/>
      </c>
      <c r="G414">
        <f>IF(companyyn402="既存コードに追加",1,0)</f>
        <v>0</v>
      </c>
      <c r="H414" t="str">
        <f>companycode402&amp;""</f>
        <v/>
      </c>
      <c r="I414" t="str">
        <f>IF(accelikkatsu402="","希望しない",accelikkatsu402)</f>
        <v>希望しない</v>
      </c>
      <c r="J414" t="str">
        <f>IF(belugabunyn402="","なし",belugabunyn402)</f>
        <v>なし</v>
      </c>
      <c r="K414" t="str">
        <f>belugabun402&amp;""</f>
        <v/>
      </c>
      <c r="L414" t="b">
        <f>shutoku402</f>
        <v>0</v>
      </c>
    </row>
    <row r="415" spans="1:12">
      <c r="A415">
        <v>403</v>
      </c>
      <c r="B415" t="str">
        <f>IF(moushikubun403="","追加",moushikubun403)</f>
        <v>追加</v>
      </c>
      <c r="C415" t="str">
        <f>shubetsu403&amp;""</f>
        <v/>
      </c>
      <c r="D415" t="str">
        <f>billid403&amp;""</f>
        <v/>
      </c>
      <c r="E415" t="str">
        <f>UPPER(SUBSTITUTE(番明[[#This Row],[ご請求番号]],"-",""))</f>
        <v/>
      </c>
      <c r="F415" t="str">
        <f>keiyakuid403&amp;""</f>
        <v/>
      </c>
      <c r="G415">
        <f>IF(companyyn403="既存コードに追加",1,0)</f>
        <v>0</v>
      </c>
      <c r="H415" t="str">
        <f>companycode403&amp;""</f>
        <v/>
      </c>
      <c r="I415" t="str">
        <f>IF(accelikkatsu403="","希望しない",accelikkatsu403)</f>
        <v>希望しない</v>
      </c>
      <c r="J415" t="str">
        <f>IF(belugabunyn403="","なし",belugabunyn403)</f>
        <v>なし</v>
      </c>
      <c r="K415" t="str">
        <f>belugabun403&amp;""</f>
        <v/>
      </c>
      <c r="L415" t="b">
        <f>shutoku403</f>
        <v>0</v>
      </c>
    </row>
    <row r="416" spans="1:12">
      <c r="A416">
        <v>404</v>
      </c>
      <c r="B416" t="str">
        <f>IF(moushikubun404="","追加",moushikubun404)</f>
        <v>追加</v>
      </c>
      <c r="C416" t="str">
        <f>shubetsu404&amp;""</f>
        <v/>
      </c>
      <c r="D416" t="str">
        <f>billid404&amp;""</f>
        <v/>
      </c>
      <c r="E416" t="str">
        <f>UPPER(SUBSTITUTE(番明[[#This Row],[ご請求番号]],"-",""))</f>
        <v/>
      </c>
      <c r="F416" t="str">
        <f>keiyakuid404&amp;""</f>
        <v/>
      </c>
      <c r="G416">
        <f>IF(companyyn404="既存コードに追加",1,0)</f>
        <v>0</v>
      </c>
      <c r="H416" t="str">
        <f>companycode404&amp;""</f>
        <v/>
      </c>
      <c r="I416" t="str">
        <f>IF(accelikkatsu404="","希望しない",accelikkatsu404)</f>
        <v>希望しない</v>
      </c>
      <c r="J416" t="str">
        <f>IF(belugabunyn404="","なし",belugabunyn404)</f>
        <v>なし</v>
      </c>
      <c r="K416" t="str">
        <f>belugabun404&amp;""</f>
        <v/>
      </c>
      <c r="L416" t="b">
        <f>shutoku404</f>
        <v>0</v>
      </c>
    </row>
    <row r="417" spans="1:12">
      <c r="A417">
        <v>405</v>
      </c>
      <c r="B417" t="str">
        <f>IF(moushikubun405="","追加",moushikubun405)</f>
        <v>追加</v>
      </c>
      <c r="C417" t="str">
        <f>shubetsu405&amp;""</f>
        <v/>
      </c>
      <c r="D417" t="str">
        <f>billid405&amp;""</f>
        <v/>
      </c>
      <c r="E417" t="str">
        <f>UPPER(SUBSTITUTE(番明[[#This Row],[ご請求番号]],"-",""))</f>
        <v/>
      </c>
      <c r="F417" t="str">
        <f>keiyakuid405&amp;""</f>
        <v/>
      </c>
      <c r="G417">
        <f>IF(companyyn405="既存コードに追加",1,0)</f>
        <v>0</v>
      </c>
      <c r="H417" t="str">
        <f>companycode405&amp;""</f>
        <v/>
      </c>
      <c r="I417" t="str">
        <f>IF(accelikkatsu405="","希望しない",accelikkatsu405)</f>
        <v>希望しない</v>
      </c>
      <c r="J417" t="str">
        <f>IF(belugabunyn405="","なし",belugabunyn405)</f>
        <v>なし</v>
      </c>
      <c r="K417" t="str">
        <f>belugabun405&amp;""</f>
        <v/>
      </c>
      <c r="L417" t="b">
        <f>shutoku405</f>
        <v>0</v>
      </c>
    </row>
    <row r="418" spans="1:12">
      <c r="A418">
        <v>406</v>
      </c>
      <c r="B418" t="str">
        <f>IF(moushikubun406="","追加",moushikubun406)</f>
        <v>追加</v>
      </c>
      <c r="C418" t="str">
        <f>shubetsu406&amp;""</f>
        <v/>
      </c>
      <c r="D418" t="str">
        <f>billid406&amp;""</f>
        <v/>
      </c>
      <c r="E418" t="str">
        <f>UPPER(SUBSTITUTE(番明[[#This Row],[ご請求番号]],"-",""))</f>
        <v/>
      </c>
      <c r="F418" t="str">
        <f>keiyakuid406&amp;""</f>
        <v/>
      </c>
      <c r="G418">
        <f>IF(companyyn406="既存コードに追加",1,0)</f>
        <v>0</v>
      </c>
      <c r="H418" t="str">
        <f>companycode406&amp;""</f>
        <v/>
      </c>
      <c r="I418" t="str">
        <f>IF(accelikkatsu406="","希望しない",accelikkatsu406)</f>
        <v>希望しない</v>
      </c>
      <c r="J418" t="str">
        <f>IF(belugabunyn406="","なし",belugabunyn406)</f>
        <v>なし</v>
      </c>
      <c r="K418" t="str">
        <f>belugabun406&amp;""</f>
        <v/>
      </c>
      <c r="L418" t="b">
        <f>shutoku406</f>
        <v>0</v>
      </c>
    </row>
    <row r="419" spans="1:12">
      <c r="A419">
        <v>407</v>
      </c>
      <c r="B419" t="str">
        <f>IF(moushikubun407="","追加",moushikubun407)</f>
        <v>追加</v>
      </c>
      <c r="C419" t="str">
        <f>shubetsu407&amp;""</f>
        <v/>
      </c>
      <c r="D419" t="str">
        <f>billid407&amp;""</f>
        <v/>
      </c>
      <c r="E419" t="str">
        <f>UPPER(SUBSTITUTE(番明[[#This Row],[ご請求番号]],"-",""))</f>
        <v/>
      </c>
      <c r="F419" t="str">
        <f>keiyakuid407&amp;""</f>
        <v/>
      </c>
      <c r="G419">
        <f>IF(companyyn407="既存コードに追加",1,0)</f>
        <v>0</v>
      </c>
      <c r="H419" t="str">
        <f>companycode407&amp;""</f>
        <v/>
      </c>
      <c r="I419" t="str">
        <f>IF(accelikkatsu407="","希望しない",accelikkatsu407)</f>
        <v>希望しない</v>
      </c>
      <c r="J419" t="str">
        <f>IF(belugabunyn407="","なし",belugabunyn407)</f>
        <v>なし</v>
      </c>
      <c r="K419" t="str">
        <f>belugabun407&amp;""</f>
        <v/>
      </c>
      <c r="L419" t="b">
        <f>shutoku407</f>
        <v>0</v>
      </c>
    </row>
    <row r="420" spans="1:12">
      <c r="A420">
        <v>408</v>
      </c>
      <c r="B420" t="str">
        <f>IF(moushikubun408="","追加",moushikubun408)</f>
        <v>追加</v>
      </c>
      <c r="C420" t="str">
        <f>shubetsu408&amp;""</f>
        <v/>
      </c>
      <c r="D420" t="str">
        <f>billid408&amp;""</f>
        <v/>
      </c>
      <c r="E420" t="str">
        <f>UPPER(SUBSTITUTE(番明[[#This Row],[ご請求番号]],"-",""))</f>
        <v/>
      </c>
      <c r="F420" t="str">
        <f>keiyakuid408&amp;""</f>
        <v/>
      </c>
      <c r="G420">
        <f>IF(companyyn408="既存コードに追加",1,0)</f>
        <v>0</v>
      </c>
      <c r="H420" t="str">
        <f>companycode408&amp;""</f>
        <v/>
      </c>
      <c r="I420" t="str">
        <f>IF(accelikkatsu408="","希望しない",accelikkatsu408)</f>
        <v>希望しない</v>
      </c>
      <c r="J420" t="str">
        <f>IF(belugabunyn408="","なし",belugabunyn408)</f>
        <v>なし</v>
      </c>
      <c r="K420" t="str">
        <f>belugabun408&amp;""</f>
        <v/>
      </c>
      <c r="L420" t="b">
        <f>shutoku408</f>
        <v>0</v>
      </c>
    </row>
    <row r="421" spans="1:12">
      <c r="A421">
        <v>409</v>
      </c>
      <c r="B421" t="str">
        <f>IF(moushikubun409="","追加",moushikubun409)</f>
        <v>追加</v>
      </c>
      <c r="C421" t="str">
        <f>shubetsu409&amp;""</f>
        <v/>
      </c>
      <c r="D421" t="str">
        <f>billid409&amp;""</f>
        <v/>
      </c>
      <c r="E421" t="str">
        <f>UPPER(SUBSTITUTE(番明[[#This Row],[ご請求番号]],"-",""))</f>
        <v/>
      </c>
      <c r="F421" t="str">
        <f>keiyakuid409&amp;""</f>
        <v/>
      </c>
      <c r="G421">
        <f>IF(companyyn409="既存コードに追加",1,0)</f>
        <v>0</v>
      </c>
      <c r="H421" t="str">
        <f>companycode409&amp;""</f>
        <v/>
      </c>
      <c r="I421" t="str">
        <f>IF(accelikkatsu409="","希望しない",accelikkatsu409)</f>
        <v>希望しない</v>
      </c>
      <c r="J421" t="str">
        <f>IF(belugabunyn409="","なし",belugabunyn409)</f>
        <v>なし</v>
      </c>
      <c r="K421" t="str">
        <f>belugabun409&amp;""</f>
        <v/>
      </c>
      <c r="L421" t="b">
        <f>shutoku409</f>
        <v>0</v>
      </c>
    </row>
    <row r="422" spans="1:12">
      <c r="A422">
        <v>410</v>
      </c>
      <c r="B422" t="str">
        <f>IF(moushikubun410="","追加",moushikubun410)</f>
        <v>追加</v>
      </c>
      <c r="C422" t="str">
        <f>shubetsu410&amp;""</f>
        <v/>
      </c>
      <c r="D422" t="str">
        <f>billid410&amp;""</f>
        <v/>
      </c>
      <c r="E422" t="str">
        <f>UPPER(SUBSTITUTE(番明[[#This Row],[ご請求番号]],"-",""))</f>
        <v/>
      </c>
      <c r="F422" t="str">
        <f>keiyakuid410&amp;""</f>
        <v/>
      </c>
      <c r="G422">
        <f>IF(companyyn410="既存コードに追加",1,0)</f>
        <v>0</v>
      </c>
      <c r="H422" t="str">
        <f>companycode410&amp;""</f>
        <v/>
      </c>
      <c r="I422" t="str">
        <f>IF(accelikkatsu410="","希望しない",accelikkatsu410)</f>
        <v>希望しない</v>
      </c>
      <c r="J422" t="str">
        <f>IF(belugabunyn410="","なし",belugabunyn410)</f>
        <v>なし</v>
      </c>
      <c r="K422" t="str">
        <f>belugabun410&amp;""</f>
        <v/>
      </c>
      <c r="L422" t="b">
        <f>shutoku410</f>
        <v>0</v>
      </c>
    </row>
    <row r="423" spans="1:12">
      <c r="A423">
        <v>411</v>
      </c>
      <c r="B423" t="str">
        <f>IF(moushikubun411="","追加",moushikubun411)</f>
        <v>追加</v>
      </c>
      <c r="C423" t="str">
        <f>shubetsu411&amp;""</f>
        <v/>
      </c>
      <c r="D423" t="str">
        <f>billid411&amp;""</f>
        <v/>
      </c>
      <c r="E423" t="str">
        <f>UPPER(SUBSTITUTE(番明[[#This Row],[ご請求番号]],"-",""))</f>
        <v/>
      </c>
      <c r="F423" t="str">
        <f>keiyakuid411&amp;""</f>
        <v/>
      </c>
      <c r="G423">
        <f>IF(companyyn411="既存コードに追加",1,0)</f>
        <v>0</v>
      </c>
      <c r="H423" t="str">
        <f>companycode411&amp;""</f>
        <v/>
      </c>
      <c r="I423" t="str">
        <f>IF(accelikkatsu411="","希望しない",accelikkatsu411)</f>
        <v>希望しない</v>
      </c>
      <c r="J423" t="str">
        <f>IF(belugabunyn411="","なし",belugabunyn411)</f>
        <v>なし</v>
      </c>
      <c r="K423" t="str">
        <f>belugabun411&amp;""</f>
        <v/>
      </c>
      <c r="L423" t="b">
        <f>shutoku411</f>
        <v>0</v>
      </c>
    </row>
    <row r="424" spans="1:12">
      <c r="A424">
        <v>412</v>
      </c>
      <c r="B424" t="str">
        <f>IF(moushikubun412="","追加",moushikubun412)</f>
        <v>追加</v>
      </c>
      <c r="C424" t="str">
        <f>shubetsu412&amp;""</f>
        <v/>
      </c>
      <c r="D424" t="str">
        <f>billid412&amp;""</f>
        <v/>
      </c>
      <c r="E424" t="str">
        <f>UPPER(SUBSTITUTE(番明[[#This Row],[ご請求番号]],"-",""))</f>
        <v/>
      </c>
      <c r="F424" t="str">
        <f>keiyakuid412&amp;""</f>
        <v/>
      </c>
      <c r="G424">
        <f>IF(companyyn412="既存コードに追加",1,0)</f>
        <v>0</v>
      </c>
      <c r="H424" t="str">
        <f>companycode412&amp;""</f>
        <v/>
      </c>
      <c r="I424" t="str">
        <f>IF(accelikkatsu412="","希望しない",accelikkatsu412)</f>
        <v>希望しない</v>
      </c>
      <c r="J424" t="str">
        <f>IF(belugabunyn412="","なし",belugabunyn412)</f>
        <v>なし</v>
      </c>
      <c r="K424" t="str">
        <f>belugabun412&amp;""</f>
        <v/>
      </c>
      <c r="L424" t="b">
        <f>shutoku412</f>
        <v>0</v>
      </c>
    </row>
    <row r="425" spans="1:12">
      <c r="A425">
        <v>413</v>
      </c>
      <c r="B425" t="str">
        <f>IF(moushikubun413="","追加",moushikubun413)</f>
        <v>追加</v>
      </c>
      <c r="C425" t="str">
        <f>shubetsu413&amp;""</f>
        <v/>
      </c>
      <c r="D425" t="str">
        <f>billid413&amp;""</f>
        <v/>
      </c>
      <c r="E425" t="str">
        <f>UPPER(SUBSTITUTE(番明[[#This Row],[ご請求番号]],"-",""))</f>
        <v/>
      </c>
      <c r="F425" t="str">
        <f>keiyakuid413&amp;""</f>
        <v/>
      </c>
      <c r="G425">
        <f>IF(companyyn413="既存コードに追加",1,0)</f>
        <v>0</v>
      </c>
      <c r="H425" t="str">
        <f>companycode413&amp;""</f>
        <v/>
      </c>
      <c r="I425" t="str">
        <f>IF(accelikkatsu413="","希望しない",accelikkatsu413)</f>
        <v>希望しない</v>
      </c>
      <c r="J425" t="str">
        <f>IF(belugabunyn413="","なし",belugabunyn413)</f>
        <v>なし</v>
      </c>
      <c r="K425" t="str">
        <f>belugabun413&amp;""</f>
        <v/>
      </c>
      <c r="L425" t="b">
        <f>shutoku413</f>
        <v>0</v>
      </c>
    </row>
    <row r="426" spans="1:12">
      <c r="A426">
        <v>414</v>
      </c>
      <c r="B426" t="str">
        <f>IF(moushikubun414="","追加",moushikubun414)</f>
        <v>追加</v>
      </c>
      <c r="C426" t="str">
        <f>shubetsu414&amp;""</f>
        <v/>
      </c>
      <c r="D426" t="str">
        <f>billid414&amp;""</f>
        <v/>
      </c>
      <c r="E426" t="str">
        <f>UPPER(SUBSTITUTE(番明[[#This Row],[ご請求番号]],"-",""))</f>
        <v/>
      </c>
      <c r="F426" t="str">
        <f>keiyakuid414&amp;""</f>
        <v/>
      </c>
      <c r="G426">
        <f>IF(companyyn414="既存コードに追加",1,0)</f>
        <v>0</v>
      </c>
      <c r="H426" t="str">
        <f>companycode414&amp;""</f>
        <v/>
      </c>
      <c r="I426" t="str">
        <f>IF(accelikkatsu414="","希望しない",accelikkatsu414)</f>
        <v>希望しない</v>
      </c>
      <c r="J426" t="str">
        <f>IF(belugabunyn414="","なし",belugabunyn414)</f>
        <v>なし</v>
      </c>
      <c r="K426" t="str">
        <f>belugabun414&amp;""</f>
        <v/>
      </c>
      <c r="L426" t="b">
        <f>shutoku414</f>
        <v>0</v>
      </c>
    </row>
    <row r="427" spans="1:12">
      <c r="A427">
        <v>415</v>
      </c>
      <c r="B427" t="str">
        <f>IF(moushikubun415="","追加",moushikubun415)</f>
        <v>追加</v>
      </c>
      <c r="C427" t="str">
        <f>shubetsu415&amp;""</f>
        <v/>
      </c>
      <c r="D427" t="str">
        <f>billid415&amp;""</f>
        <v/>
      </c>
      <c r="E427" t="str">
        <f>UPPER(SUBSTITUTE(番明[[#This Row],[ご請求番号]],"-",""))</f>
        <v/>
      </c>
      <c r="F427" t="str">
        <f>keiyakuid415&amp;""</f>
        <v/>
      </c>
      <c r="G427">
        <f>IF(companyyn415="既存コードに追加",1,0)</f>
        <v>0</v>
      </c>
      <c r="H427" t="str">
        <f>companycode415&amp;""</f>
        <v/>
      </c>
      <c r="I427" t="str">
        <f>IF(accelikkatsu415="","希望しない",accelikkatsu415)</f>
        <v>希望しない</v>
      </c>
      <c r="J427" t="str">
        <f>IF(belugabunyn415="","なし",belugabunyn415)</f>
        <v>なし</v>
      </c>
      <c r="K427" t="str">
        <f>belugabun415&amp;""</f>
        <v/>
      </c>
      <c r="L427" t="b">
        <f>shutoku415</f>
        <v>0</v>
      </c>
    </row>
    <row r="428" spans="1:12">
      <c r="A428">
        <v>416</v>
      </c>
      <c r="B428" t="str">
        <f>IF(moushikubun416="","追加",moushikubun416)</f>
        <v>追加</v>
      </c>
      <c r="C428" t="str">
        <f>shubetsu416&amp;""</f>
        <v/>
      </c>
      <c r="D428" t="str">
        <f>billid416&amp;""</f>
        <v/>
      </c>
      <c r="E428" t="str">
        <f>UPPER(SUBSTITUTE(番明[[#This Row],[ご請求番号]],"-",""))</f>
        <v/>
      </c>
      <c r="F428" t="str">
        <f>keiyakuid416&amp;""</f>
        <v/>
      </c>
      <c r="G428">
        <f>IF(companyyn416="既存コードに追加",1,0)</f>
        <v>0</v>
      </c>
      <c r="H428" t="str">
        <f>companycode416&amp;""</f>
        <v/>
      </c>
      <c r="I428" t="str">
        <f>IF(accelikkatsu416="","希望しない",accelikkatsu416)</f>
        <v>希望しない</v>
      </c>
      <c r="J428" t="str">
        <f>IF(belugabunyn416="","なし",belugabunyn416)</f>
        <v>なし</v>
      </c>
      <c r="K428" t="str">
        <f>belugabun416&amp;""</f>
        <v/>
      </c>
      <c r="L428" t="b">
        <f>shutoku416</f>
        <v>0</v>
      </c>
    </row>
    <row r="429" spans="1:12">
      <c r="A429">
        <v>417</v>
      </c>
      <c r="B429" t="str">
        <f>IF(moushikubun417="","追加",moushikubun417)</f>
        <v>追加</v>
      </c>
      <c r="C429" t="str">
        <f>shubetsu417&amp;""</f>
        <v/>
      </c>
      <c r="D429" t="str">
        <f>billid417&amp;""</f>
        <v/>
      </c>
      <c r="E429" t="str">
        <f>UPPER(SUBSTITUTE(番明[[#This Row],[ご請求番号]],"-",""))</f>
        <v/>
      </c>
      <c r="F429" t="str">
        <f>keiyakuid417&amp;""</f>
        <v/>
      </c>
      <c r="G429">
        <f>IF(companyyn417="既存コードに追加",1,0)</f>
        <v>0</v>
      </c>
      <c r="H429" t="str">
        <f>companycode417&amp;""</f>
        <v/>
      </c>
      <c r="I429" t="str">
        <f>IF(accelikkatsu417="","希望しない",accelikkatsu417)</f>
        <v>希望しない</v>
      </c>
      <c r="J429" t="str">
        <f>IF(belugabunyn417="","なし",belugabunyn417)</f>
        <v>なし</v>
      </c>
      <c r="K429" t="str">
        <f>belugabun417&amp;""</f>
        <v/>
      </c>
      <c r="L429" t="b">
        <f>shutoku417</f>
        <v>0</v>
      </c>
    </row>
    <row r="430" spans="1:12">
      <c r="A430">
        <v>418</v>
      </c>
      <c r="B430" t="str">
        <f>IF(moushikubun418="","追加",moushikubun418)</f>
        <v>追加</v>
      </c>
      <c r="C430" t="str">
        <f>shubetsu418&amp;""</f>
        <v/>
      </c>
      <c r="D430" t="str">
        <f>billid418&amp;""</f>
        <v/>
      </c>
      <c r="E430" t="str">
        <f>UPPER(SUBSTITUTE(番明[[#This Row],[ご請求番号]],"-",""))</f>
        <v/>
      </c>
      <c r="F430" t="str">
        <f>keiyakuid418&amp;""</f>
        <v/>
      </c>
      <c r="G430">
        <f>IF(companyyn418="既存コードに追加",1,0)</f>
        <v>0</v>
      </c>
      <c r="H430" t="str">
        <f>companycode418&amp;""</f>
        <v/>
      </c>
      <c r="I430" t="str">
        <f>IF(accelikkatsu418="","希望しない",accelikkatsu418)</f>
        <v>希望しない</v>
      </c>
      <c r="J430" t="str">
        <f>IF(belugabunyn418="","なし",belugabunyn418)</f>
        <v>なし</v>
      </c>
      <c r="K430" t="str">
        <f>belugabun418&amp;""</f>
        <v/>
      </c>
      <c r="L430" t="b">
        <f>shutoku418</f>
        <v>0</v>
      </c>
    </row>
    <row r="431" spans="1:12">
      <c r="A431">
        <v>419</v>
      </c>
      <c r="B431" t="str">
        <f>IF(moushikubun419="","追加",moushikubun419)</f>
        <v>追加</v>
      </c>
      <c r="C431" t="str">
        <f>shubetsu419&amp;""</f>
        <v/>
      </c>
      <c r="D431" t="str">
        <f>billid419&amp;""</f>
        <v/>
      </c>
      <c r="E431" t="str">
        <f>UPPER(SUBSTITUTE(番明[[#This Row],[ご請求番号]],"-",""))</f>
        <v/>
      </c>
      <c r="F431" t="str">
        <f>keiyakuid419&amp;""</f>
        <v/>
      </c>
      <c r="G431">
        <f>IF(companyyn419="既存コードに追加",1,0)</f>
        <v>0</v>
      </c>
      <c r="H431" t="str">
        <f>companycode419&amp;""</f>
        <v/>
      </c>
      <c r="I431" t="str">
        <f>IF(accelikkatsu419="","希望しない",accelikkatsu419)</f>
        <v>希望しない</v>
      </c>
      <c r="J431" t="str">
        <f>IF(belugabunyn419="","なし",belugabunyn419)</f>
        <v>なし</v>
      </c>
      <c r="K431" t="str">
        <f>belugabun419&amp;""</f>
        <v/>
      </c>
      <c r="L431" t="b">
        <f>shutoku419</f>
        <v>0</v>
      </c>
    </row>
    <row r="432" spans="1:12">
      <c r="A432">
        <v>420</v>
      </c>
      <c r="B432" t="str">
        <f>IF(moushikubun420="","追加",moushikubun420)</f>
        <v>追加</v>
      </c>
      <c r="C432" t="str">
        <f>shubetsu420&amp;""</f>
        <v/>
      </c>
      <c r="D432" t="str">
        <f>billid420&amp;""</f>
        <v/>
      </c>
      <c r="E432" t="str">
        <f>UPPER(SUBSTITUTE(番明[[#This Row],[ご請求番号]],"-",""))</f>
        <v/>
      </c>
      <c r="F432" t="str">
        <f>keiyakuid420&amp;""</f>
        <v/>
      </c>
      <c r="G432">
        <f>IF(companyyn420="既存コードに追加",1,0)</f>
        <v>0</v>
      </c>
      <c r="H432" t="str">
        <f>companycode420&amp;""</f>
        <v/>
      </c>
      <c r="I432" t="str">
        <f>IF(accelikkatsu420="","希望しない",accelikkatsu420)</f>
        <v>希望しない</v>
      </c>
      <c r="J432" t="str">
        <f>IF(belugabunyn420="","なし",belugabunyn420)</f>
        <v>なし</v>
      </c>
      <c r="K432" t="str">
        <f>belugabun420&amp;""</f>
        <v/>
      </c>
      <c r="L432" t="b">
        <f>shutoku420</f>
        <v>0</v>
      </c>
    </row>
    <row r="433" spans="1:12">
      <c r="A433">
        <v>421</v>
      </c>
      <c r="B433" t="str">
        <f>IF(moushikubun421="","追加",moushikubun421)</f>
        <v>追加</v>
      </c>
      <c r="C433" t="str">
        <f>shubetsu421&amp;""</f>
        <v/>
      </c>
      <c r="D433" t="str">
        <f>billid421&amp;""</f>
        <v/>
      </c>
      <c r="E433" t="str">
        <f>UPPER(SUBSTITUTE(番明[[#This Row],[ご請求番号]],"-",""))</f>
        <v/>
      </c>
      <c r="F433" t="str">
        <f>keiyakuid421&amp;""</f>
        <v/>
      </c>
      <c r="G433">
        <f>IF(companyyn421="既存コードに追加",1,0)</f>
        <v>0</v>
      </c>
      <c r="H433" t="str">
        <f>companycode421&amp;""</f>
        <v/>
      </c>
      <c r="I433" t="str">
        <f>IF(accelikkatsu421="","希望しない",accelikkatsu421)</f>
        <v>希望しない</v>
      </c>
      <c r="J433" t="str">
        <f>IF(belugabunyn421="","なし",belugabunyn421)</f>
        <v>なし</v>
      </c>
      <c r="K433" t="str">
        <f>belugabun421&amp;""</f>
        <v/>
      </c>
      <c r="L433" t="b">
        <f>shutoku421</f>
        <v>0</v>
      </c>
    </row>
    <row r="434" spans="1:12">
      <c r="A434">
        <v>422</v>
      </c>
      <c r="B434" t="str">
        <f>IF(moushikubun422="","追加",moushikubun422)</f>
        <v>追加</v>
      </c>
      <c r="C434" t="str">
        <f>shubetsu422&amp;""</f>
        <v/>
      </c>
      <c r="D434" t="str">
        <f>billid422&amp;""</f>
        <v/>
      </c>
      <c r="E434" t="str">
        <f>UPPER(SUBSTITUTE(番明[[#This Row],[ご請求番号]],"-",""))</f>
        <v/>
      </c>
      <c r="F434" t="str">
        <f>keiyakuid422&amp;""</f>
        <v/>
      </c>
      <c r="G434">
        <f>IF(companyyn422="既存コードに追加",1,0)</f>
        <v>0</v>
      </c>
      <c r="H434" t="str">
        <f>companycode422&amp;""</f>
        <v/>
      </c>
      <c r="I434" t="str">
        <f>IF(accelikkatsu422="","希望しない",accelikkatsu422)</f>
        <v>希望しない</v>
      </c>
      <c r="J434" t="str">
        <f>IF(belugabunyn422="","なし",belugabunyn422)</f>
        <v>なし</v>
      </c>
      <c r="K434" t="str">
        <f>belugabun422&amp;""</f>
        <v/>
      </c>
      <c r="L434" t="b">
        <f>shutoku422</f>
        <v>0</v>
      </c>
    </row>
    <row r="435" spans="1:12">
      <c r="A435">
        <v>423</v>
      </c>
      <c r="B435" t="str">
        <f>IF(moushikubun423="","追加",moushikubun423)</f>
        <v>追加</v>
      </c>
      <c r="C435" t="str">
        <f>shubetsu423&amp;""</f>
        <v/>
      </c>
      <c r="D435" t="str">
        <f>billid423&amp;""</f>
        <v/>
      </c>
      <c r="E435" t="str">
        <f>UPPER(SUBSTITUTE(番明[[#This Row],[ご請求番号]],"-",""))</f>
        <v/>
      </c>
      <c r="F435" t="str">
        <f>keiyakuid423&amp;""</f>
        <v/>
      </c>
      <c r="G435">
        <f>IF(companyyn423="既存コードに追加",1,0)</f>
        <v>0</v>
      </c>
      <c r="H435" t="str">
        <f>companycode423&amp;""</f>
        <v/>
      </c>
      <c r="I435" t="str">
        <f>IF(accelikkatsu423="","希望しない",accelikkatsu423)</f>
        <v>希望しない</v>
      </c>
      <c r="J435" t="str">
        <f>IF(belugabunyn423="","なし",belugabunyn423)</f>
        <v>なし</v>
      </c>
      <c r="K435" t="str">
        <f>belugabun423&amp;""</f>
        <v/>
      </c>
      <c r="L435" t="b">
        <f>shutoku423</f>
        <v>0</v>
      </c>
    </row>
    <row r="436" spans="1:12">
      <c r="A436">
        <v>424</v>
      </c>
      <c r="B436" t="str">
        <f>IF(moushikubun424="","追加",moushikubun424)</f>
        <v>追加</v>
      </c>
      <c r="C436" t="str">
        <f>shubetsu424&amp;""</f>
        <v/>
      </c>
      <c r="D436" t="str">
        <f>billid424&amp;""</f>
        <v/>
      </c>
      <c r="E436" t="str">
        <f>UPPER(SUBSTITUTE(番明[[#This Row],[ご請求番号]],"-",""))</f>
        <v/>
      </c>
      <c r="F436" t="str">
        <f>keiyakuid424&amp;""</f>
        <v/>
      </c>
      <c r="G436">
        <f>IF(companyyn424="既存コードに追加",1,0)</f>
        <v>0</v>
      </c>
      <c r="H436" t="str">
        <f>companycode424&amp;""</f>
        <v/>
      </c>
      <c r="I436" t="str">
        <f>IF(accelikkatsu424="","希望しない",accelikkatsu424)</f>
        <v>希望しない</v>
      </c>
      <c r="J436" t="str">
        <f>IF(belugabunyn424="","なし",belugabunyn424)</f>
        <v>なし</v>
      </c>
      <c r="K436" t="str">
        <f>belugabun424&amp;""</f>
        <v/>
      </c>
      <c r="L436" t="b">
        <f>shutoku424</f>
        <v>0</v>
      </c>
    </row>
    <row r="437" spans="1:12">
      <c r="A437">
        <v>425</v>
      </c>
      <c r="B437" t="str">
        <f>IF(moushikubun425="","追加",moushikubun425)</f>
        <v>追加</v>
      </c>
      <c r="C437" t="str">
        <f>shubetsu425&amp;""</f>
        <v/>
      </c>
      <c r="D437" t="str">
        <f>billid425&amp;""</f>
        <v/>
      </c>
      <c r="E437" t="str">
        <f>UPPER(SUBSTITUTE(番明[[#This Row],[ご請求番号]],"-",""))</f>
        <v/>
      </c>
      <c r="F437" t="str">
        <f>keiyakuid425&amp;""</f>
        <v/>
      </c>
      <c r="G437">
        <f>IF(companyyn425="既存コードに追加",1,0)</f>
        <v>0</v>
      </c>
      <c r="H437" t="str">
        <f>companycode425&amp;""</f>
        <v/>
      </c>
      <c r="I437" t="str">
        <f>IF(accelikkatsu425="","希望しない",accelikkatsu425)</f>
        <v>希望しない</v>
      </c>
      <c r="J437" t="str">
        <f>IF(belugabunyn425="","なし",belugabunyn425)</f>
        <v>なし</v>
      </c>
      <c r="K437" t="str">
        <f>belugabun425&amp;""</f>
        <v/>
      </c>
      <c r="L437" t="b">
        <f>shutoku425</f>
        <v>0</v>
      </c>
    </row>
    <row r="438" spans="1:12">
      <c r="A438">
        <v>426</v>
      </c>
      <c r="B438" t="str">
        <f>IF(moushikubun426="","追加",moushikubun426)</f>
        <v>追加</v>
      </c>
      <c r="C438" t="str">
        <f>shubetsu426&amp;""</f>
        <v/>
      </c>
      <c r="D438" t="str">
        <f>billid426&amp;""</f>
        <v/>
      </c>
      <c r="E438" t="str">
        <f>UPPER(SUBSTITUTE(番明[[#This Row],[ご請求番号]],"-",""))</f>
        <v/>
      </c>
      <c r="F438" t="str">
        <f>keiyakuid426&amp;""</f>
        <v/>
      </c>
      <c r="G438">
        <f>IF(companyyn426="既存コードに追加",1,0)</f>
        <v>0</v>
      </c>
      <c r="H438" t="str">
        <f>companycode426&amp;""</f>
        <v/>
      </c>
      <c r="I438" t="str">
        <f>IF(accelikkatsu426="","希望しない",accelikkatsu426)</f>
        <v>希望しない</v>
      </c>
      <c r="J438" t="str">
        <f>IF(belugabunyn426="","なし",belugabunyn426)</f>
        <v>なし</v>
      </c>
      <c r="K438" t="str">
        <f>belugabun426&amp;""</f>
        <v/>
      </c>
      <c r="L438" t="b">
        <f>shutoku426</f>
        <v>0</v>
      </c>
    </row>
    <row r="439" spans="1:12">
      <c r="A439">
        <v>427</v>
      </c>
      <c r="B439" t="str">
        <f>IF(moushikubun427="","追加",moushikubun427)</f>
        <v>追加</v>
      </c>
      <c r="C439" t="str">
        <f>shubetsu427&amp;""</f>
        <v/>
      </c>
      <c r="D439" t="str">
        <f>billid427&amp;""</f>
        <v/>
      </c>
      <c r="E439" t="str">
        <f>UPPER(SUBSTITUTE(番明[[#This Row],[ご請求番号]],"-",""))</f>
        <v/>
      </c>
      <c r="F439" t="str">
        <f>keiyakuid427&amp;""</f>
        <v/>
      </c>
      <c r="G439">
        <f>IF(companyyn427="既存コードに追加",1,0)</f>
        <v>0</v>
      </c>
      <c r="H439" t="str">
        <f>companycode427&amp;""</f>
        <v/>
      </c>
      <c r="I439" t="str">
        <f>IF(accelikkatsu427="","希望しない",accelikkatsu427)</f>
        <v>希望しない</v>
      </c>
      <c r="J439" t="str">
        <f>IF(belugabunyn427="","なし",belugabunyn427)</f>
        <v>なし</v>
      </c>
      <c r="K439" t="str">
        <f>belugabun427&amp;""</f>
        <v/>
      </c>
      <c r="L439" t="b">
        <f>shutoku427</f>
        <v>0</v>
      </c>
    </row>
    <row r="440" spans="1:12">
      <c r="A440">
        <v>428</v>
      </c>
      <c r="B440" t="str">
        <f>IF(moushikubun428="","追加",moushikubun428)</f>
        <v>追加</v>
      </c>
      <c r="C440" t="str">
        <f>shubetsu428&amp;""</f>
        <v/>
      </c>
      <c r="D440" t="str">
        <f>billid428&amp;""</f>
        <v/>
      </c>
      <c r="E440" t="str">
        <f>UPPER(SUBSTITUTE(番明[[#This Row],[ご請求番号]],"-",""))</f>
        <v/>
      </c>
      <c r="F440" t="str">
        <f>keiyakuid428&amp;""</f>
        <v/>
      </c>
      <c r="G440">
        <f>IF(companyyn428="既存コードに追加",1,0)</f>
        <v>0</v>
      </c>
      <c r="H440" t="str">
        <f>companycode428&amp;""</f>
        <v/>
      </c>
      <c r="I440" t="str">
        <f>IF(accelikkatsu428="","希望しない",accelikkatsu428)</f>
        <v>希望しない</v>
      </c>
      <c r="J440" t="str">
        <f>IF(belugabunyn428="","なし",belugabunyn428)</f>
        <v>なし</v>
      </c>
      <c r="K440" t="str">
        <f>belugabun428&amp;""</f>
        <v/>
      </c>
      <c r="L440" t="b">
        <f>shutoku428</f>
        <v>0</v>
      </c>
    </row>
    <row r="441" spans="1:12">
      <c r="A441">
        <v>429</v>
      </c>
      <c r="B441" t="str">
        <f>IF(moushikubun429="","追加",moushikubun429)</f>
        <v>追加</v>
      </c>
      <c r="C441" t="str">
        <f>shubetsu429&amp;""</f>
        <v/>
      </c>
      <c r="D441" t="str">
        <f>billid429&amp;""</f>
        <v/>
      </c>
      <c r="E441" t="str">
        <f>UPPER(SUBSTITUTE(番明[[#This Row],[ご請求番号]],"-",""))</f>
        <v/>
      </c>
      <c r="F441" t="str">
        <f>keiyakuid429&amp;""</f>
        <v/>
      </c>
      <c r="G441">
        <f>IF(companyyn429="既存コードに追加",1,0)</f>
        <v>0</v>
      </c>
      <c r="H441" t="str">
        <f>companycode429&amp;""</f>
        <v/>
      </c>
      <c r="I441" t="str">
        <f>IF(accelikkatsu429="","希望しない",accelikkatsu429)</f>
        <v>希望しない</v>
      </c>
      <c r="J441" t="str">
        <f>IF(belugabunyn429="","なし",belugabunyn429)</f>
        <v>なし</v>
      </c>
      <c r="K441" t="str">
        <f>belugabun429&amp;""</f>
        <v/>
      </c>
      <c r="L441" t="b">
        <f>shutoku429</f>
        <v>0</v>
      </c>
    </row>
    <row r="442" spans="1:12">
      <c r="A442">
        <v>430</v>
      </c>
      <c r="B442" t="str">
        <f>IF(moushikubun430="","追加",moushikubun430)</f>
        <v>追加</v>
      </c>
      <c r="C442" t="str">
        <f>shubetsu430&amp;""</f>
        <v/>
      </c>
      <c r="D442" t="str">
        <f>billid430&amp;""</f>
        <v/>
      </c>
      <c r="E442" t="str">
        <f>UPPER(SUBSTITUTE(番明[[#This Row],[ご請求番号]],"-",""))</f>
        <v/>
      </c>
      <c r="F442" t="str">
        <f>keiyakuid430&amp;""</f>
        <v/>
      </c>
      <c r="G442">
        <f>IF(companyyn430="既存コードに追加",1,0)</f>
        <v>0</v>
      </c>
      <c r="H442" t="str">
        <f>companycode430&amp;""</f>
        <v/>
      </c>
      <c r="I442" t="str">
        <f>IF(accelikkatsu430="","希望しない",accelikkatsu430)</f>
        <v>希望しない</v>
      </c>
      <c r="J442" t="str">
        <f>IF(belugabunyn430="","なし",belugabunyn430)</f>
        <v>なし</v>
      </c>
      <c r="K442" t="str">
        <f>belugabun430&amp;""</f>
        <v/>
      </c>
      <c r="L442" t="b">
        <f>shutoku430</f>
        <v>0</v>
      </c>
    </row>
    <row r="443" spans="1:12">
      <c r="A443">
        <v>431</v>
      </c>
      <c r="B443" t="str">
        <f>IF(moushikubun431="","追加",moushikubun431)</f>
        <v>追加</v>
      </c>
      <c r="C443" t="str">
        <f>shubetsu431&amp;""</f>
        <v/>
      </c>
      <c r="D443" t="str">
        <f>billid431&amp;""</f>
        <v/>
      </c>
      <c r="E443" t="str">
        <f>UPPER(SUBSTITUTE(番明[[#This Row],[ご請求番号]],"-",""))</f>
        <v/>
      </c>
      <c r="F443" t="str">
        <f>keiyakuid431&amp;""</f>
        <v/>
      </c>
      <c r="G443">
        <f>IF(companyyn431="既存コードに追加",1,0)</f>
        <v>0</v>
      </c>
      <c r="H443" t="str">
        <f>companycode431&amp;""</f>
        <v/>
      </c>
      <c r="I443" t="str">
        <f>IF(accelikkatsu431="","希望しない",accelikkatsu431)</f>
        <v>希望しない</v>
      </c>
      <c r="J443" t="str">
        <f>IF(belugabunyn431="","なし",belugabunyn431)</f>
        <v>なし</v>
      </c>
      <c r="K443" t="str">
        <f>belugabun431&amp;""</f>
        <v/>
      </c>
      <c r="L443" t="b">
        <f>shutoku431</f>
        <v>0</v>
      </c>
    </row>
    <row r="444" spans="1:12">
      <c r="A444">
        <v>432</v>
      </c>
      <c r="B444" t="str">
        <f>IF(moushikubun432="","追加",moushikubun432)</f>
        <v>追加</v>
      </c>
      <c r="C444" t="str">
        <f>shubetsu432&amp;""</f>
        <v/>
      </c>
      <c r="D444" t="str">
        <f>billid432&amp;""</f>
        <v/>
      </c>
      <c r="E444" t="str">
        <f>UPPER(SUBSTITUTE(番明[[#This Row],[ご請求番号]],"-",""))</f>
        <v/>
      </c>
      <c r="F444" t="str">
        <f>keiyakuid432&amp;""</f>
        <v/>
      </c>
      <c r="G444">
        <f>IF(companyyn432="既存コードに追加",1,0)</f>
        <v>0</v>
      </c>
      <c r="H444" t="str">
        <f>companycode432&amp;""</f>
        <v/>
      </c>
      <c r="I444" t="str">
        <f>IF(accelikkatsu432="","希望しない",accelikkatsu432)</f>
        <v>希望しない</v>
      </c>
      <c r="J444" t="str">
        <f>IF(belugabunyn432="","なし",belugabunyn432)</f>
        <v>なし</v>
      </c>
      <c r="K444" t="str">
        <f>belugabun432&amp;""</f>
        <v/>
      </c>
      <c r="L444" t="b">
        <f>shutoku432</f>
        <v>0</v>
      </c>
    </row>
    <row r="445" spans="1:12">
      <c r="A445">
        <v>433</v>
      </c>
      <c r="B445" t="str">
        <f>IF(moushikubun433="","追加",moushikubun433)</f>
        <v>追加</v>
      </c>
      <c r="C445" t="str">
        <f>shubetsu433&amp;""</f>
        <v/>
      </c>
      <c r="D445" t="str">
        <f>billid433&amp;""</f>
        <v/>
      </c>
      <c r="E445" t="str">
        <f>UPPER(SUBSTITUTE(番明[[#This Row],[ご請求番号]],"-",""))</f>
        <v/>
      </c>
      <c r="F445" t="str">
        <f>keiyakuid433&amp;""</f>
        <v/>
      </c>
      <c r="G445">
        <f>IF(companyyn433="既存コードに追加",1,0)</f>
        <v>0</v>
      </c>
      <c r="H445" t="str">
        <f>companycode433&amp;""</f>
        <v/>
      </c>
      <c r="I445" t="str">
        <f>IF(accelikkatsu433="","希望しない",accelikkatsu433)</f>
        <v>希望しない</v>
      </c>
      <c r="J445" t="str">
        <f>IF(belugabunyn433="","なし",belugabunyn433)</f>
        <v>なし</v>
      </c>
      <c r="K445" t="str">
        <f>belugabun433&amp;""</f>
        <v/>
      </c>
      <c r="L445" t="b">
        <f>shutoku433</f>
        <v>0</v>
      </c>
    </row>
    <row r="446" spans="1:12">
      <c r="A446">
        <v>434</v>
      </c>
      <c r="B446" t="str">
        <f>IF(moushikubun434="","追加",moushikubun434)</f>
        <v>追加</v>
      </c>
      <c r="C446" t="str">
        <f>shubetsu434&amp;""</f>
        <v/>
      </c>
      <c r="D446" t="str">
        <f>billid434&amp;""</f>
        <v/>
      </c>
      <c r="E446" t="str">
        <f>UPPER(SUBSTITUTE(番明[[#This Row],[ご請求番号]],"-",""))</f>
        <v/>
      </c>
      <c r="F446" t="str">
        <f>keiyakuid434&amp;""</f>
        <v/>
      </c>
      <c r="G446">
        <f>IF(companyyn434="既存コードに追加",1,0)</f>
        <v>0</v>
      </c>
      <c r="H446" t="str">
        <f>companycode434&amp;""</f>
        <v/>
      </c>
      <c r="I446" t="str">
        <f>IF(accelikkatsu434="","希望しない",accelikkatsu434)</f>
        <v>希望しない</v>
      </c>
      <c r="J446" t="str">
        <f>IF(belugabunyn434="","なし",belugabunyn434)</f>
        <v>なし</v>
      </c>
      <c r="K446" t="str">
        <f>belugabun434&amp;""</f>
        <v/>
      </c>
      <c r="L446" t="b">
        <f>shutoku434</f>
        <v>0</v>
      </c>
    </row>
    <row r="447" spans="1:12">
      <c r="A447">
        <v>435</v>
      </c>
      <c r="B447" t="str">
        <f>IF(moushikubun435="","追加",moushikubun435)</f>
        <v>追加</v>
      </c>
      <c r="C447" t="str">
        <f>shubetsu435&amp;""</f>
        <v/>
      </c>
      <c r="D447" t="str">
        <f>billid435&amp;""</f>
        <v/>
      </c>
      <c r="E447" t="str">
        <f>UPPER(SUBSTITUTE(番明[[#This Row],[ご請求番号]],"-",""))</f>
        <v/>
      </c>
      <c r="F447" t="str">
        <f>keiyakuid435&amp;""</f>
        <v/>
      </c>
      <c r="G447">
        <f>IF(companyyn435="既存コードに追加",1,0)</f>
        <v>0</v>
      </c>
      <c r="H447" t="str">
        <f>companycode435&amp;""</f>
        <v/>
      </c>
      <c r="I447" t="str">
        <f>IF(accelikkatsu435="","希望しない",accelikkatsu435)</f>
        <v>希望しない</v>
      </c>
      <c r="J447" t="str">
        <f>IF(belugabunyn435="","なし",belugabunyn435)</f>
        <v>なし</v>
      </c>
      <c r="K447" t="str">
        <f>belugabun435&amp;""</f>
        <v/>
      </c>
      <c r="L447" t="b">
        <f>shutoku435</f>
        <v>0</v>
      </c>
    </row>
    <row r="448" spans="1:12">
      <c r="A448">
        <v>436</v>
      </c>
      <c r="B448" t="str">
        <f>IF(moushikubun436="","追加",moushikubun436)</f>
        <v>追加</v>
      </c>
      <c r="C448" t="str">
        <f>shubetsu436&amp;""</f>
        <v/>
      </c>
      <c r="D448" t="str">
        <f>billid436&amp;""</f>
        <v/>
      </c>
      <c r="E448" t="str">
        <f>UPPER(SUBSTITUTE(番明[[#This Row],[ご請求番号]],"-",""))</f>
        <v/>
      </c>
      <c r="F448" t="str">
        <f>keiyakuid436&amp;""</f>
        <v/>
      </c>
      <c r="G448">
        <f>IF(companyyn436="既存コードに追加",1,0)</f>
        <v>0</v>
      </c>
      <c r="H448" t="str">
        <f>companycode436&amp;""</f>
        <v/>
      </c>
      <c r="I448" t="str">
        <f>IF(accelikkatsu436="","希望しない",accelikkatsu436)</f>
        <v>希望しない</v>
      </c>
      <c r="J448" t="str">
        <f>IF(belugabunyn436="","なし",belugabunyn436)</f>
        <v>なし</v>
      </c>
      <c r="K448" t="str">
        <f>belugabun436&amp;""</f>
        <v/>
      </c>
      <c r="L448" t="b">
        <f>shutoku436</f>
        <v>0</v>
      </c>
    </row>
    <row r="449" spans="1:12">
      <c r="A449">
        <v>437</v>
      </c>
      <c r="B449" t="str">
        <f>IF(moushikubun437="","追加",moushikubun437)</f>
        <v>追加</v>
      </c>
      <c r="C449" t="str">
        <f>shubetsu437&amp;""</f>
        <v/>
      </c>
      <c r="D449" t="str">
        <f>billid437&amp;""</f>
        <v/>
      </c>
      <c r="E449" t="str">
        <f>UPPER(SUBSTITUTE(番明[[#This Row],[ご請求番号]],"-",""))</f>
        <v/>
      </c>
      <c r="F449" t="str">
        <f>keiyakuid437&amp;""</f>
        <v/>
      </c>
      <c r="G449">
        <f>IF(companyyn437="既存コードに追加",1,0)</f>
        <v>0</v>
      </c>
      <c r="H449" t="str">
        <f>companycode437&amp;""</f>
        <v/>
      </c>
      <c r="I449" t="str">
        <f>IF(accelikkatsu437="","希望しない",accelikkatsu437)</f>
        <v>希望しない</v>
      </c>
      <c r="J449" t="str">
        <f>IF(belugabunyn437="","なし",belugabunyn437)</f>
        <v>なし</v>
      </c>
      <c r="K449" t="str">
        <f>belugabun437&amp;""</f>
        <v/>
      </c>
      <c r="L449" t="b">
        <f>shutoku437</f>
        <v>0</v>
      </c>
    </row>
    <row r="450" spans="1:12">
      <c r="A450">
        <v>438</v>
      </c>
      <c r="B450" t="str">
        <f>IF(moushikubun438="","追加",moushikubun438)</f>
        <v>追加</v>
      </c>
      <c r="C450" t="str">
        <f>shubetsu438&amp;""</f>
        <v/>
      </c>
      <c r="D450" t="str">
        <f>billid438&amp;""</f>
        <v/>
      </c>
      <c r="E450" t="str">
        <f>UPPER(SUBSTITUTE(番明[[#This Row],[ご請求番号]],"-",""))</f>
        <v/>
      </c>
      <c r="F450" t="str">
        <f>keiyakuid438&amp;""</f>
        <v/>
      </c>
      <c r="G450">
        <f>IF(companyyn438="既存コードに追加",1,0)</f>
        <v>0</v>
      </c>
      <c r="H450" t="str">
        <f>companycode438&amp;""</f>
        <v/>
      </c>
      <c r="I450" t="str">
        <f>IF(accelikkatsu438="","希望しない",accelikkatsu438)</f>
        <v>希望しない</v>
      </c>
      <c r="J450" t="str">
        <f>IF(belugabunyn438="","なし",belugabunyn438)</f>
        <v>なし</v>
      </c>
      <c r="K450" t="str">
        <f>belugabun438&amp;""</f>
        <v/>
      </c>
      <c r="L450" t="b">
        <f>shutoku438</f>
        <v>0</v>
      </c>
    </row>
    <row r="451" spans="1:12">
      <c r="A451">
        <v>439</v>
      </c>
      <c r="B451" t="str">
        <f>IF(moushikubun439="","追加",moushikubun439)</f>
        <v>追加</v>
      </c>
      <c r="C451" t="str">
        <f>shubetsu439&amp;""</f>
        <v/>
      </c>
      <c r="D451" t="str">
        <f>billid439&amp;""</f>
        <v/>
      </c>
      <c r="E451" t="str">
        <f>UPPER(SUBSTITUTE(番明[[#This Row],[ご請求番号]],"-",""))</f>
        <v/>
      </c>
      <c r="F451" t="str">
        <f>keiyakuid439&amp;""</f>
        <v/>
      </c>
      <c r="G451">
        <f>IF(companyyn439="既存コードに追加",1,0)</f>
        <v>0</v>
      </c>
      <c r="H451" t="str">
        <f>companycode439&amp;""</f>
        <v/>
      </c>
      <c r="I451" t="str">
        <f>IF(accelikkatsu439="","希望しない",accelikkatsu439)</f>
        <v>希望しない</v>
      </c>
      <c r="J451" t="str">
        <f>IF(belugabunyn439="","なし",belugabunyn439)</f>
        <v>なし</v>
      </c>
      <c r="K451" t="str">
        <f>belugabun439&amp;""</f>
        <v/>
      </c>
      <c r="L451" t="b">
        <f>shutoku439</f>
        <v>0</v>
      </c>
    </row>
    <row r="452" spans="1:12">
      <c r="A452">
        <v>440</v>
      </c>
      <c r="B452" t="str">
        <f>IF(moushikubun440="","追加",moushikubun440)</f>
        <v>追加</v>
      </c>
      <c r="C452" t="str">
        <f>shubetsu440&amp;""</f>
        <v/>
      </c>
      <c r="D452" t="str">
        <f>billid440&amp;""</f>
        <v/>
      </c>
      <c r="E452" t="str">
        <f>UPPER(SUBSTITUTE(番明[[#This Row],[ご請求番号]],"-",""))</f>
        <v/>
      </c>
      <c r="F452" t="str">
        <f>keiyakuid440&amp;""</f>
        <v/>
      </c>
      <c r="G452">
        <f>IF(companyyn440="既存コードに追加",1,0)</f>
        <v>0</v>
      </c>
      <c r="H452" t="str">
        <f>companycode440&amp;""</f>
        <v/>
      </c>
      <c r="I452" t="str">
        <f>IF(accelikkatsu440="","希望しない",accelikkatsu440)</f>
        <v>希望しない</v>
      </c>
      <c r="J452" t="str">
        <f>IF(belugabunyn440="","なし",belugabunyn440)</f>
        <v>なし</v>
      </c>
      <c r="K452" t="str">
        <f>belugabun440&amp;""</f>
        <v/>
      </c>
      <c r="L452" t="b">
        <f>shutoku440</f>
        <v>0</v>
      </c>
    </row>
    <row r="453" spans="1:12">
      <c r="A453">
        <v>441</v>
      </c>
      <c r="B453" t="str">
        <f>IF(moushikubun441="","追加",moushikubun441)</f>
        <v>追加</v>
      </c>
      <c r="C453" t="str">
        <f>shubetsu441&amp;""</f>
        <v/>
      </c>
      <c r="D453" t="str">
        <f>billid441&amp;""</f>
        <v/>
      </c>
      <c r="E453" t="str">
        <f>UPPER(SUBSTITUTE(番明[[#This Row],[ご請求番号]],"-",""))</f>
        <v/>
      </c>
      <c r="F453" t="str">
        <f>keiyakuid441&amp;""</f>
        <v/>
      </c>
      <c r="G453">
        <f>IF(companyyn441="既存コードに追加",1,0)</f>
        <v>0</v>
      </c>
      <c r="H453" t="str">
        <f>companycode441&amp;""</f>
        <v/>
      </c>
      <c r="I453" t="str">
        <f>IF(accelikkatsu441="","希望しない",accelikkatsu441)</f>
        <v>希望しない</v>
      </c>
      <c r="J453" t="str">
        <f>IF(belugabunyn441="","なし",belugabunyn441)</f>
        <v>なし</v>
      </c>
      <c r="K453" t="str">
        <f>belugabun441&amp;""</f>
        <v/>
      </c>
      <c r="L453" t="b">
        <f>shutoku441</f>
        <v>0</v>
      </c>
    </row>
    <row r="454" spans="1:12">
      <c r="A454">
        <v>442</v>
      </c>
      <c r="B454" t="str">
        <f>IF(moushikubun442="","追加",moushikubun442)</f>
        <v>追加</v>
      </c>
      <c r="C454" t="str">
        <f>shubetsu442&amp;""</f>
        <v/>
      </c>
      <c r="D454" t="str">
        <f>billid442&amp;""</f>
        <v/>
      </c>
      <c r="E454" t="str">
        <f>UPPER(SUBSTITUTE(番明[[#This Row],[ご請求番号]],"-",""))</f>
        <v/>
      </c>
      <c r="F454" t="str">
        <f>keiyakuid442&amp;""</f>
        <v/>
      </c>
      <c r="G454">
        <f>IF(companyyn442="既存コードに追加",1,0)</f>
        <v>0</v>
      </c>
      <c r="H454" t="str">
        <f>companycode442&amp;""</f>
        <v/>
      </c>
      <c r="I454" t="str">
        <f>IF(accelikkatsu442="","希望しない",accelikkatsu442)</f>
        <v>希望しない</v>
      </c>
      <c r="J454" t="str">
        <f>IF(belugabunyn442="","なし",belugabunyn442)</f>
        <v>なし</v>
      </c>
      <c r="K454" t="str">
        <f>belugabun442&amp;""</f>
        <v/>
      </c>
      <c r="L454" t="b">
        <f>shutoku442</f>
        <v>0</v>
      </c>
    </row>
    <row r="455" spans="1:12">
      <c r="A455">
        <v>443</v>
      </c>
      <c r="B455" t="str">
        <f>IF(moushikubun443="","追加",moushikubun443)</f>
        <v>追加</v>
      </c>
      <c r="C455" t="str">
        <f>shubetsu443&amp;""</f>
        <v/>
      </c>
      <c r="D455" t="str">
        <f>billid443&amp;""</f>
        <v/>
      </c>
      <c r="E455" t="str">
        <f>UPPER(SUBSTITUTE(番明[[#This Row],[ご請求番号]],"-",""))</f>
        <v/>
      </c>
      <c r="F455" t="str">
        <f>keiyakuid443&amp;""</f>
        <v/>
      </c>
      <c r="G455">
        <f>IF(companyyn443="既存コードに追加",1,0)</f>
        <v>0</v>
      </c>
      <c r="H455" t="str">
        <f>companycode443&amp;""</f>
        <v/>
      </c>
      <c r="I455" t="str">
        <f>IF(accelikkatsu443="","希望しない",accelikkatsu443)</f>
        <v>希望しない</v>
      </c>
      <c r="J455" t="str">
        <f>IF(belugabunyn443="","なし",belugabunyn443)</f>
        <v>なし</v>
      </c>
      <c r="K455" t="str">
        <f>belugabun443&amp;""</f>
        <v/>
      </c>
      <c r="L455" t="b">
        <f>shutoku443</f>
        <v>0</v>
      </c>
    </row>
    <row r="456" spans="1:12">
      <c r="A456">
        <v>444</v>
      </c>
      <c r="B456" t="str">
        <f>IF(moushikubun444="","追加",moushikubun444)</f>
        <v>追加</v>
      </c>
      <c r="C456" t="str">
        <f>shubetsu444&amp;""</f>
        <v/>
      </c>
      <c r="D456" t="str">
        <f>billid444&amp;""</f>
        <v/>
      </c>
      <c r="E456" t="str">
        <f>UPPER(SUBSTITUTE(番明[[#This Row],[ご請求番号]],"-",""))</f>
        <v/>
      </c>
      <c r="F456" t="str">
        <f>keiyakuid444&amp;""</f>
        <v/>
      </c>
      <c r="G456">
        <f>IF(companyyn444="既存コードに追加",1,0)</f>
        <v>0</v>
      </c>
      <c r="H456" t="str">
        <f>companycode444&amp;""</f>
        <v/>
      </c>
      <c r="I456" t="str">
        <f>IF(accelikkatsu444="","希望しない",accelikkatsu444)</f>
        <v>希望しない</v>
      </c>
      <c r="J456" t="str">
        <f>IF(belugabunyn444="","なし",belugabunyn444)</f>
        <v>なし</v>
      </c>
      <c r="K456" t="str">
        <f>belugabun444&amp;""</f>
        <v/>
      </c>
      <c r="L456" t="b">
        <f>shutoku444</f>
        <v>0</v>
      </c>
    </row>
    <row r="457" spans="1:12">
      <c r="A457">
        <v>445</v>
      </c>
      <c r="B457" t="str">
        <f>IF(moushikubun445="","追加",moushikubun445)</f>
        <v>追加</v>
      </c>
      <c r="C457" t="str">
        <f>shubetsu445&amp;""</f>
        <v/>
      </c>
      <c r="D457" t="str">
        <f>billid445&amp;""</f>
        <v/>
      </c>
      <c r="E457" t="str">
        <f>UPPER(SUBSTITUTE(番明[[#This Row],[ご請求番号]],"-",""))</f>
        <v/>
      </c>
      <c r="F457" t="str">
        <f>keiyakuid445&amp;""</f>
        <v/>
      </c>
      <c r="G457">
        <f>IF(companyyn445="既存コードに追加",1,0)</f>
        <v>0</v>
      </c>
      <c r="H457" t="str">
        <f>companycode445&amp;""</f>
        <v/>
      </c>
      <c r="I457" t="str">
        <f>IF(accelikkatsu445="","希望しない",accelikkatsu445)</f>
        <v>希望しない</v>
      </c>
      <c r="J457" t="str">
        <f>IF(belugabunyn445="","なし",belugabunyn445)</f>
        <v>なし</v>
      </c>
      <c r="K457" t="str">
        <f>belugabun445&amp;""</f>
        <v/>
      </c>
      <c r="L457" t="b">
        <f>shutoku445</f>
        <v>0</v>
      </c>
    </row>
    <row r="458" spans="1:12">
      <c r="A458">
        <v>446</v>
      </c>
      <c r="B458" t="str">
        <f>IF(moushikubun446="","追加",moushikubun446)</f>
        <v>追加</v>
      </c>
      <c r="C458" t="str">
        <f>shubetsu446&amp;""</f>
        <v/>
      </c>
      <c r="D458" t="str">
        <f>billid446&amp;""</f>
        <v/>
      </c>
      <c r="E458" t="str">
        <f>UPPER(SUBSTITUTE(番明[[#This Row],[ご請求番号]],"-",""))</f>
        <v/>
      </c>
      <c r="F458" t="str">
        <f>keiyakuid446&amp;""</f>
        <v/>
      </c>
      <c r="G458">
        <f>IF(companyyn446="既存コードに追加",1,0)</f>
        <v>0</v>
      </c>
      <c r="H458" t="str">
        <f>companycode446&amp;""</f>
        <v/>
      </c>
      <c r="I458" t="str">
        <f>IF(accelikkatsu446="","希望しない",accelikkatsu446)</f>
        <v>希望しない</v>
      </c>
      <c r="J458" t="str">
        <f>IF(belugabunyn446="","なし",belugabunyn446)</f>
        <v>なし</v>
      </c>
      <c r="K458" t="str">
        <f>belugabun446&amp;""</f>
        <v/>
      </c>
      <c r="L458" t="b">
        <f>shutoku446</f>
        <v>0</v>
      </c>
    </row>
    <row r="459" spans="1:12">
      <c r="A459">
        <v>447</v>
      </c>
      <c r="B459" t="str">
        <f>IF(moushikubun447="","追加",moushikubun447)</f>
        <v>追加</v>
      </c>
      <c r="C459" t="str">
        <f>shubetsu447&amp;""</f>
        <v/>
      </c>
      <c r="D459" t="str">
        <f>billid447&amp;""</f>
        <v/>
      </c>
      <c r="E459" t="str">
        <f>UPPER(SUBSTITUTE(番明[[#This Row],[ご請求番号]],"-",""))</f>
        <v/>
      </c>
      <c r="F459" t="str">
        <f>keiyakuid447&amp;""</f>
        <v/>
      </c>
      <c r="G459">
        <f>IF(companyyn447="既存コードに追加",1,0)</f>
        <v>0</v>
      </c>
      <c r="H459" t="str">
        <f>companycode447&amp;""</f>
        <v/>
      </c>
      <c r="I459" t="str">
        <f>IF(accelikkatsu447="","希望しない",accelikkatsu447)</f>
        <v>希望しない</v>
      </c>
      <c r="J459" t="str">
        <f>IF(belugabunyn447="","なし",belugabunyn447)</f>
        <v>なし</v>
      </c>
      <c r="K459" t="str">
        <f>belugabun447&amp;""</f>
        <v/>
      </c>
      <c r="L459" t="b">
        <f>shutoku447</f>
        <v>0</v>
      </c>
    </row>
    <row r="460" spans="1:12">
      <c r="A460">
        <v>448</v>
      </c>
      <c r="B460" t="str">
        <f>IF(moushikubun448="","追加",moushikubun448)</f>
        <v>追加</v>
      </c>
      <c r="C460" t="str">
        <f>shubetsu448&amp;""</f>
        <v/>
      </c>
      <c r="D460" t="str">
        <f>billid448&amp;""</f>
        <v/>
      </c>
      <c r="E460" t="str">
        <f>UPPER(SUBSTITUTE(番明[[#This Row],[ご請求番号]],"-",""))</f>
        <v/>
      </c>
      <c r="F460" t="str">
        <f>keiyakuid448&amp;""</f>
        <v/>
      </c>
      <c r="G460">
        <f>IF(companyyn448="既存コードに追加",1,0)</f>
        <v>0</v>
      </c>
      <c r="H460" t="str">
        <f>companycode448&amp;""</f>
        <v/>
      </c>
      <c r="I460" t="str">
        <f>IF(accelikkatsu448="","希望しない",accelikkatsu448)</f>
        <v>希望しない</v>
      </c>
      <c r="J460" t="str">
        <f>IF(belugabunyn448="","なし",belugabunyn448)</f>
        <v>なし</v>
      </c>
      <c r="K460" t="str">
        <f>belugabun448&amp;""</f>
        <v/>
      </c>
      <c r="L460" t="b">
        <f>shutoku448</f>
        <v>0</v>
      </c>
    </row>
    <row r="461" spans="1:12">
      <c r="A461">
        <v>449</v>
      </c>
      <c r="B461" t="str">
        <f>IF(moushikubun449="","追加",moushikubun449)</f>
        <v>追加</v>
      </c>
      <c r="C461" t="str">
        <f>shubetsu449&amp;""</f>
        <v/>
      </c>
      <c r="D461" t="str">
        <f>billid449&amp;""</f>
        <v/>
      </c>
      <c r="E461" t="str">
        <f>UPPER(SUBSTITUTE(番明[[#This Row],[ご請求番号]],"-",""))</f>
        <v/>
      </c>
      <c r="F461" t="str">
        <f>keiyakuid449&amp;""</f>
        <v/>
      </c>
      <c r="G461">
        <f>IF(companyyn449="既存コードに追加",1,0)</f>
        <v>0</v>
      </c>
      <c r="H461" t="str">
        <f>companycode449&amp;""</f>
        <v/>
      </c>
      <c r="I461" t="str">
        <f>IF(accelikkatsu449="","希望しない",accelikkatsu449)</f>
        <v>希望しない</v>
      </c>
      <c r="J461" t="str">
        <f>IF(belugabunyn449="","なし",belugabunyn449)</f>
        <v>なし</v>
      </c>
      <c r="K461" t="str">
        <f>belugabun449&amp;""</f>
        <v/>
      </c>
      <c r="L461" t="b">
        <f>shutoku449</f>
        <v>0</v>
      </c>
    </row>
    <row r="462" spans="1:12">
      <c r="A462">
        <v>450</v>
      </c>
      <c r="B462" t="str">
        <f>IF(moushikubun450="","追加",moushikubun450)</f>
        <v>追加</v>
      </c>
      <c r="C462" t="str">
        <f>shubetsu450&amp;""</f>
        <v/>
      </c>
      <c r="D462" t="str">
        <f>billid450&amp;""</f>
        <v/>
      </c>
      <c r="E462" t="str">
        <f>UPPER(SUBSTITUTE(番明[[#This Row],[ご請求番号]],"-",""))</f>
        <v/>
      </c>
      <c r="F462" t="str">
        <f>keiyakuid450&amp;""</f>
        <v/>
      </c>
      <c r="G462">
        <f>IF(companyyn450="既存コードに追加",1,0)</f>
        <v>0</v>
      </c>
      <c r="H462" t="str">
        <f>companycode450&amp;""</f>
        <v/>
      </c>
      <c r="I462" t="str">
        <f>IF(accelikkatsu450="","希望しない",accelikkatsu450)</f>
        <v>希望しない</v>
      </c>
      <c r="J462" t="str">
        <f>IF(belugabunyn450="","なし",belugabunyn450)</f>
        <v>なし</v>
      </c>
      <c r="K462" t="str">
        <f>belugabun450&amp;""</f>
        <v/>
      </c>
      <c r="L462" t="b">
        <f>shutoku450</f>
        <v>0</v>
      </c>
    </row>
    <row r="463" spans="1:12">
      <c r="A463">
        <v>451</v>
      </c>
      <c r="B463" t="str">
        <f>IF(moushikubun451="","追加",moushikubun451)</f>
        <v>追加</v>
      </c>
      <c r="C463" t="str">
        <f>shubetsu451&amp;""</f>
        <v/>
      </c>
      <c r="D463" t="str">
        <f>billid451&amp;""</f>
        <v/>
      </c>
      <c r="E463" t="str">
        <f>UPPER(SUBSTITUTE(番明[[#This Row],[ご請求番号]],"-",""))</f>
        <v/>
      </c>
      <c r="F463" t="str">
        <f>keiyakuid451&amp;""</f>
        <v/>
      </c>
      <c r="G463">
        <f>IF(companyyn451="既存コードに追加",1,0)</f>
        <v>0</v>
      </c>
      <c r="H463" t="str">
        <f>companycode451&amp;""</f>
        <v/>
      </c>
      <c r="I463" t="str">
        <f>IF(accelikkatsu451="","希望しない",accelikkatsu451)</f>
        <v>希望しない</v>
      </c>
      <c r="J463" t="str">
        <f>IF(belugabunyn451="","なし",belugabunyn451)</f>
        <v>なし</v>
      </c>
      <c r="K463" t="str">
        <f>belugabun451&amp;""</f>
        <v/>
      </c>
      <c r="L463" t="b">
        <f>shutoku451</f>
        <v>0</v>
      </c>
    </row>
    <row r="464" spans="1:12">
      <c r="A464">
        <v>452</v>
      </c>
      <c r="B464" t="str">
        <f>IF(moushikubun452="","追加",moushikubun452)</f>
        <v>追加</v>
      </c>
      <c r="C464" t="str">
        <f>shubetsu452&amp;""</f>
        <v/>
      </c>
      <c r="D464" t="str">
        <f>billid452&amp;""</f>
        <v/>
      </c>
      <c r="E464" t="str">
        <f>UPPER(SUBSTITUTE(番明[[#This Row],[ご請求番号]],"-",""))</f>
        <v/>
      </c>
      <c r="F464" t="str">
        <f>keiyakuid452&amp;""</f>
        <v/>
      </c>
      <c r="G464">
        <f>IF(companyyn452="既存コードに追加",1,0)</f>
        <v>0</v>
      </c>
      <c r="H464" t="str">
        <f>companycode452&amp;""</f>
        <v/>
      </c>
      <c r="I464" t="str">
        <f>IF(accelikkatsu452="","希望しない",accelikkatsu452)</f>
        <v>希望しない</v>
      </c>
      <c r="J464" t="str">
        <f>IF(belugabunyn452="","なし",belugabunyn452)</f>
        <v>なし</v>
      </c>
      <c r="K464" t="str">
        <f>belugabun452&amp;""</f>
        <v/>
      </c>
      <c r="L464" t="b">
        <f>shutoku452</f>
        <v>0</v>
      </c>
    </row>
    <row r="465" spans="1:12">
      <c r="A465">
        <v>453</v>
      </c>
      <c r="B465" t="str">
        <f>IF(moushikubun453="","追加",moushikubun453)</f>
        <v>追加</v>
      </c>
      <c r="C465" t="str">
        <f>shubetsu453&amp;""</f>
        <v/>
      </c>
      <c r="D465" t="str">
        <f>billid453&amp;""</f>
        <v/>
      </c>
      <c r="E465" t="str">
        <f>UPPER(SUBSTITUTE(番明[[#This Row],[ご請求番号]],"-",""))</f>
        <v/>
      </c>
      <c r="F465" t="str">
        <f>keiyakuid453&amp;""</f>
        <v/>
      </c>
      <c r="G465">
        <f>IF(companyyn453="既存コードに追加",1,0)</f>
        <v>0</v>
      </c>
      <c r="H465" t="str">
        <f>companycode453&amp;""</f>
        <v/>
      </c>
      <c r="I465" t="str">
        <f>IF(accelikkatsu453="","希望しない",accelikkatsu453)</f>
        <v>希望しない</v>
      </c>
      <c r="J465" t="str">
        <f>IF(belugabunyn453="","なし",belugabunyn453)</f>
        <v>なし</v>
      </c>
      <c r="K465" t="str">
        <f>belugabun453&amp;""</f>
        <v/>
      </c>
      <c r="L465" t="b">
        <f>shutoku453</f>
        <v>0</v>
      </c>
    </row>
    <row r="466" spans="1:12">
      <c r="A466">
        <v>454</v>
      </c>
      <c r="B466" t="str">
        <f>IF(moushikubun454="","追加",moushikubun454)</f>
        <v>追加</v>
      </c>
      <c r="C466" t="str">
        <f>shubetsu454&amp;""</f>
        <v/>
      </c>
      <c r="D466" t="str">
        <f>billid454&amp;""</f>
        <v/>
      </c>
      <c r="E466" t="str">
        <f>UPPER(SUBSTITUTE(番明[[#This Row],[ご請求番号]],"-",""))</f>
        <v/>
      </c>
      <c r="F466" t="str">
        <f>keiyakuid454&amp;""</f>
        <v/>
      </c>
      <c r="G466">
        <f>IF(companyyn454="既存コードに追加",1,0)</f>
        <v>0</v>
      </c>
      <c r="H466" t="str">
        <f>companycode454&amp;""</f>
        <v/>
      </c>
      <c r="I466" t="str">
        <f>IF(accelikkatsu454="","希望しない",accelikkatsu454)</f>
        <v>希望しない</v>
      </c>
      <c r="J466" t="str">
        <f>IF(belugabunyn454="","なし",belugabunyn454)</f>
        <v>なし</v>
      </c>
      <c r="K466" t="str">
        <f>belugabun454&amp;""</f>
        <v/>
      </c>
      <c r="L466" t="b">
        <f>shutoku454</f>
        <v>0</v>
      </c>
    </row>
    <row r="467" spans="1:12">
      <c r="A467">
        <v>455</v>
      </c>
      <c r="B467" t="str">
        <f>IF(moushikubun455="","追加",moushikubun455)</f>
        <v>追加</v>
      </c>
      <c r="C467" t="str">
        <f>shubetsu455&amp;""</f>
        <v/>
      </c>
      <c r="D467" t="str">
        <f>billid455&amp;""</f>
        <v/>
      </c>
      <c r="E467" t="str">
        <f>UPPER(SUBSTITUTE(番明[[#This Row],[ご請求番号]],"-",""))</f>
        <v/>
      </c>
      <c r="F467" t="str">
        <f>keiyakuid455&amp;""</f>
        <v/>
      </c>
      <c r="G467">
        <f>IF(companyyn455="既存コードに追加",1,0)</f>
        <v>0</v>
      </c>
      <c r="H467" t="str">
        <f>companycode455&amp;""</f>
        <v/>
      </c>
      <c r="I467" t="str">
        <f>IF(accelikkatsu455="","希望しない",accelikkatsu455)</f>
        <v>希望しない</v>
      </c>
      <c r="J467" t="str">
        <f>IF(belugabunyn455="","なし",belugabunyn455)</f>
        <v>なし</v>
      </c>
      <c r="K467" t="str">
        <f>belugabun455&amp;""</f>
        <v/>
      </c>
      <c r="L467" t="b">
        <f>shutoku455</f>
        <v>0</v>
      </c>
    </row>
    <row r="468" spans="1:12">
      <c r="A468">
        <v>456</v>
      </c>
      <c r="B468" t="str">
        <f>IF(moushikubun456="","追加",moushikubun456)</f>
        <v>追加</v>
      </c>
      <c r="C468" t="str">
        <f>shubetsu456&amp;""</f>
        <v/>
      </c>
      <c r="D468" t="str">
        <f>billid456&amp;""</f>
        <v/>
      </c>
      <c r="E468" t="str">
        <f>UPPER(SUBSTITUTE(番明[[#This Row],[ご請求番号]],"-",""))</f>
        <v/>
      </c>
      <c r="F468" t="str">
        <f>keiyakuid456&amp;""</f>
        <v/>
      </c>
      <c r="G468">
        <f>IF(companyyn456="既存コードに追加",1,0)</f>
        <v>0</v>
      </c>
      <c r="H468" t="str">
        <f>companycode456&amp;""</f>
        <v/>
      </c>
      <c r="I468" t="str">
        <f>IF(accelikkatsu456="","希望しない",accelikkatsu456)</f>
        <v>希望しない</v>
      </c>
      <c r="J468" t="str">
        <f>IF(belugabunyn456="","なし",belugabunyn456)</f>
        <v>なし</v>
      </c>
      <c r="K468" t="str">
        <f>belugabun456&amp;""</f>
        <v/>
      </c>
      <c r="L468" t="b">
        <f>shutoku456</f>
        <v>0</v>
      </c>
    </row>
    <row r="469" spans="1:12">
      <c r="A469">
        <v>457</v>
      </c>
      <c r="B469" t="str">
        <f>IF(moushikubun457="","追加",moushikubun457)</f>
        <v>追加</v>
      </c>
      <c r="C469" t="str">
        <f>shubetsu457&amp;""</f>
        <v/>
      </c>
      <c r="D469" t="str">
        <f>billid457&amp;""</f>
        <v/>
      </c>
      <c r="E469" t="str">
        <f>UPPER(SUBSTITUTE(番明[[#This Row],[ご請求番号]],"-",""))</f>
        <v/>
      </c>
      <c r="F469" t="str">
        <f>keiyakuid457&amp;""</f>
        <v/>
      </c>
      <c r="G469">
        <f>IF(companyyn457="既存コードに追加",1,0)</f>
        <v>0</v>
      </c>
      <c r="H469" t="str">
        <f>companycode457&amp;""</f>
        <v/>
      </c>
      <c r="I469" t="str">
        <f>IF(accelikkatsu457="","希望しない",accelikkatsu457)</f>
        <v>希望しない</v>
      </c>
      <c r="J469" t="str">
        <f>IF(belugabunyn457="","なし",belugabunyn457)</f>
        <v>なし</v>
      </c>
      <c r="K469" t="str">
        <f>belugabun457&amp;""</f>
        <v/>
      </c>
      <c r="L469" t="b">
        <f>shutoku457</f>
        <v>0</v>
      </c>
    </row>
    <row r="470" spans="1:12">
      <c r="A470">
        <v>458</v>
      </c>
      <c r="B470" t="str">
        <f>IF(moushikubun458="","追加",moushikubun458)</f>
        <v>追加</v>
      </c>
      <c r="C470" t="str">
        <f>shubetsu458&amp;""</f>
        <v/>
      </c>
      <c r="D470" t="str">
        <f>billid458&amp;""</f>
        <v/>
      </c>
      <c r="E470" t="str">
        <f>UPPER(SUBSTITUTE(番明[[#This Row],[ご請求番号]],"-",""))</f>
        <v/>
      </c>
      <c r="F470" t="str">
        <f>keiyakuid458&amp;""</f>
        <v/>
      </c>
      <c r="G470">
        <f>IF(companyyn458="既存コードに追加",1,0)</f>
        <v>0</v>
      </c>
      <c r="H470" t="str">
        <f>companycode458&amp;""</f>
        <v/>
      </c>
      <c r="I470" t="str">
        <f>IF(accelikkatsu458="","希望しない",accelikkatsu458)</f>
        <v>希望しない</v>
      </c>
      <c r="J470" t="str">
        <f>IF(belugabunyn458="","なし",belugabunyn458)</f>
        <v>なし</v>
      </c>
      <c r="K470" t="str">
        <f>belugabun458&amp;""</f>
        <v/>
      </c>
      <c r="L470" t="b">
        <f>shutoku458</f>
        <v>0</v>
      </c>
    </row>
    <row r="471" spans="1:12">
      <c r="A471">
        <v>459</v>
      </c>
      <c r="B471" t="str">
        <f>IF(moushikubun459="","追加",moushikubun459)</f>
        <v>追加</v>
      </c>
      <c r="C471" t="str">
        <f>shubetsu459&amp;""</f>
        <v/>
      </c>
      <c r="D471" t="str">
        <f>billid459&amp;""</f>
        <v/>
      </c>
      <c r="E471" t="str">
        <f>UPPER(SUBSTITUTE(番明[[#This Row],[ご請求番号]],"-",""))</f>
        <v/>
      </c>
      <c r="F471" t="str">
        <f>keiyakuid459&amp;""</f>
        <v/>
      </c>
      <c r="G471">
        <f>IF(companyyn459="既存コードに追加",1,0)</f>
        <v>0</v>
      </c>
      <c r="H471" t="str">
        <f>companycode459&amp;""</f>
        <v/>
      </c>
      <c r="I471" t="str">
        <f>IF(accelikkatsu459="","希望しない",accelikkatsu459)</f>
        <v>希望しない</v>
      </c>
      <c r="J471" t="str">
        <f>IF(belugabunyn459="","なし",belugabunyn459)</f>
        <v>なし</v>
      </c>
      <c r="K471" t="str">
        <f>belugabun459&amp;""</f>
        <v/>
      </c>
      <c r="L471" t="b">
        <f>shutoku459</f>
        <v>0</v>
      </c>
    </row>
    <row r="472" spans="1:12">
      <c r="A472">
        <v>460</v>
      </c>
      <c r="B472" t="str">
        <f>IF(moushikubun460="","追加",moushikubun460)</f>
        <v>追加</v>
      </c>
      <c r="C472" t="str">
        <f>shubetsu460&amp;""</f>
        <v/>
      </c>
      <c r="D472" t="str">
        <f>billid460&amp;""</f>
        <v/>
      </c>
      <c r="E472" t="str">
        <f>UPPER(SUBSTITUTE(番明[[#This Row],[ご請求番号]],"-",""))</f>
        <v/>
      </c>
      <c r="F472" t="str">
        <f>keiyakuid460&amp;""</f>
        <v/>
      </c>
      <c r="G472">
        <f>IF(companyyn460="既存コードに追加",1,0)</f>
        <v>0</v>
      </c>
      <c r="H472" t="str">
        <f>companycode460&amp;""</f>
        <v/>
      </c>
      <c r="I472" t="str">
        <f>IF(accelikkatsu460="","希望しない",accelikkatsu460)</f>
        <v>希望しない</v>
      </c>
      <c r="J472" t="str">
        <f>IF(belugabunyn460="","なし",belugabunyn460)</f>
        <v>なし</v>
      </c>
      <c r="K472" t="str">
        <f>belugabun460&amp;""</f>
        <v/>
      </c>
      <c r="L472" t="b">
        <f>shutoku460</f>
        <v>0</v>
      </c>
    </row>
    <row r="473" spans="1:12">
      <c r="A473">
        <v>461</v>
      </c>
      <c r="B473" t="str">
        <f>IF(moushikubun461="","追加",moushikubun461)</f>
        <v>追加</v>
      </c>
      <c r="C473" t="str">
        <f>shubetsu461&amp;""</f>
        <v/>
      </c>
      <c r="D473" t="str">
        <f>billid461&amp;""</f>
        <v/>
      </c>
      <c r="E473" t="str">
        <f>UPPER(SUBSTITUTE(番明[[#This Row],[ご請求番号]],"-",""))</f>
        <v/>
      </c>
      <c r="F473" t="str">
        <f>keiyakuid461&amp;""</f>
        <v/>
      </c>
      <c r="G473">
        <f>IF(companyyn461="既存コードに追加",1,0)</f>
        <v>0</v>
      </c>
      <c r="H473" t="str">
        <f>companycode461&amp;""</f>
        <v/>
      </c>
      <c r="I473" t="str">
        <f>IF(accelikkatsu461="","希望しない",accelikkatsu461)</f>
        <v>希望しない</v>
      </c>
      <c r="J473" t="str">
        <f>IF(belugabunyn461="","なし",belugabunyn461)</f>
        <v>なし</v>
      </c>
      <c r="K473" t="str">
        <f>belugabun461&amp;""</f>
        <v/>
      </c>
      <c r="L473" t="b">
        <f>shutoku461</f>
        <v>0</v>
      </c>
    </row>
    <row r="474" spans="1:12">
      <c r="A474">
        <v>462</v>
      </c>
      <c r="B474" t="str">
        <f>IF(moushikubun462="","追加",moushikubun462)</f>
        <v>追加</v>
      </c>
      <c r="C474" t="str">
        <f>shubetsu462&amp;""</f>
        <v/>
      </c>
      <c r="D474" t="str">
        <f>billid462&amp;""</f>
        <v/>
      </c>
      <c r="E474" t="str">
        <f>UPPER(SUBSTITUTE(番明[[#This Row],[ご請求番号]],"-",""))</f>
        <v/>
      </c>
      <c r="F474" t="str">
        <f>keiyakuid462&amp;""</f>
        <v/>
      </c>
      <c r="G474">
        <f>IF(companyyn462="既存コードに追加",1,0)</f>
        <v>0</v>
      </c>
      <c r="H474" t="str">
        <f>companycode462&amp;""</f>
        <v/>
      </c>
      <c r="I474" t="str">
        <f>IF(accelikkatsu462="","希望しない",accelikkatsu462)</f>
        <v>希望しない</v>
      </c>
      <c r="J474" t="str">
        <f>IF(belugabunyn462="","なし",belugabunyn462)</f>
        <v>なし</v>
      </c>
      <c r="K474" t="str">
        <f>belugabun462&amp;""</f>
        <v/>
      </c>
      <c r="L474" t="b">
        <f>shutoku462</f>
        <v>0</v>
      </c>
    </row>
    <row r="475" spans="1:12">
      <c r="A475">
        <v>463</v>
      </c>
      <c r="B475" t="str">
        <f>IF(moushikubun463="","追加",moushikubun463)</f>
        <v>追加</v>
      </c>
      <c r="C475" t="str">
        <f>shubetsu463&amp;""</f>
        <v/>
      </c>
      <c r="D475" t="str">
        <f>billid463&amp;""</f>
        <v/>
      </c>
      <c r="E475" t="str">
        <f>UPPER(SUBSTITUTE(番明[[#This Row],[ご請求番号]],"-",""))</f>
        <v/>
      </c>
      <c r="F475" t="str">
        <f>keiyakuid463&amp;""</f>
        <v/>
      </c>
      <c r="G475">
        <f>IF(companyyn463="既存コードに追加",1,0)</f>
        <v>0</v>
      </c>
      <c r="H475" t="str">
        <f>companycode463&amp;""</f>
        <v/>
      </c>
      <c r="I475" t="str">
        <f>IF(accelikkatsu463="","希望しない",accelikkatsu463)</f>
        <v>希望しない</v>
      </c>
      <c r="J475" t="str">
        <f>IF(belugabunyn463="","なし",belugabunyn463)</f>
        <v>なし</v>
      </c>
      <c r="K475" t="str">
        <f>belugabun463&amp;""</f>
        <v/>
      </c>
      <c r="L475" t="b">
        <f>shutoku463</f>
        <v>0</v>
      </c>
    </row>
    <row r="476" spans="1:12">
      <c r="A476">
        <v>464</v>
      </c>
      <c r="B476" t="str">
        <f>IF(moushikubun464="","追加",moushikubun464)</f>
        <v>追加</v>
      </c>
      <c r="C476" t="str">
        <f>shubetsu464&amp;""</f>
        <v/>
      </c>
      <c r="D476" t="str">
        <f>billid464&amp;""</f>
        <v/>
      </c>
      <c r="E476" t="str">
        <f>UPPER(SUBSTITUTE(番明[[#This Row],[ご請求番号]],"-",""))</f>
        <v/>
      </c>
      <c r="F476" t="str">
        <f>keiyakuid464&amp;""</f>
        <v/>
      </c>
      <c r="G476">
        <f>IF(companyyn464="既存コードに追加",1,0)</f>
        <v>0</v>
      </c>
      <c r="H476" t="str">
        <f>companycode464&amp;""</f>
        <v/>
      </c>
      <c r="I476" t="str">
        <f>IF(accelikkatsu464="","希望しない",accelikkatsu464)</f>
        <v>希望しない</v>
      </c>
      <c r="J476" t="str">
        <f>IF(belugabunyn464="","なし",belugabunyn464)</f>
        <v>なし</v>
      </c>
      <c r="K476" t="str">
        <f>belugabun464&amp;""</f>
        <v/>
      </c>
      <c r="L476" t="b">
        <f>shutoku464</f>
        <v>0</v>
      </c>
    </row>
    <row r="477" spans="1:12">
      <c r="A477">
        <v>465</v>
      </c>
      <c r="B477" t="str">
        <f>IF(moushikubun465="","追加",moushikubun465)</f>
        <v>追加</v>
      </c>
      <c r="C477" t="str">
        <f>shubetsu465&amp;""</f>
        <v/>
      </c>
      <c r="D477" t="str">
        <f>billid465&amp;""</f>
        <v/>
      </c>
      <c r="E477" t="str">
        <f>UPPER(SUBSTITUTE(番明[[#This Row],[ご請求番号]],"-",""))</f>
        <v/>
      </c>
      <c r="F477" t="str">
        <f>keiyakuid465&amp;""</f>
        <v/>
      </c>
      <c r="G477">
        <f>IF(companyyn465="既存コードに追加",1,0)</f>
        <v>0</v>
      </c>
      <c r="H477" t="str">
        <f>companycode465&amp;""</f>
        <v/>
      </c>
      <c r="I477" t="str">
        <f>IF(accelikkatsu465="","希望しない",accelikkatsu465)</f>
        <v>希望しない</v>
      </c>
      <c r="J477" t="str">
        <f>IF(belugabunyn465="","なし",belugabunyn465)</f>
        <v>なし</v>
      </c>
      <c r="K477" t="str">
        <f>belugabun465&amp;""</f>
        <v/>
      </c>
      <c r="L477" t="b">
        <f>shutoku465</f>
        <v>0</v>
      </c>
    </row>
    <row r="478" spans="1:12">
      <c r="A478">
        <v>466</v>
      </c>
      <c r="B478" t="str">
        <f>IF(moushikubun466="","追加",moushikubun466)</f>
        <v>追加</v>
      </c>
      <c r="C478" t="str">
        <f>shubetsu466&amp;""</f>
        <v/>
      </c>
      <c r="D478" t="str">
        <f>billid466&amp;""</f>
        <v/>
      </c>
      <c r="E478" t="str">
        <f>UPPER(SUBSTITUTE(番明[[#This Row],[ご請求番号]],"-",""))</f>
        <v/>
      </c>
      <c r="F478" t="str">
        <f>keiyakuid466&amp;""</f>
        <v/>
      </c>
      <c r="G478">
        <f>IF(companyyn466="既存コードに追加",1,0)</f>
        <v>0</v>
      </c>
      <c r="H478" t="str">
        <f>companycode466&amp;""</f>
        <v/>
      </c>
      <c r="I478" t="str">
        <f>IF(accelikkatsu466="","希望しない",accelikkatsu466)</f>
        <v>希望しない</v>
      </c>
      <c r="J478" t="str">
        <f>IF(belugabunyn466="","なし",belugabunyn466)</f>
        <v>なし</v>
      </c>
      <c r="K478" t="str">
        <f>belugabun466&amp;""</f>
        <v/>
      </c>
      <c r="L478" t="b">
        <f>shutoku466</f>
        <v>0</v>
      </c>
    </row>
    <row r="479" spans="1:12">
      <c r="A479">
        <v>467</v>
      </c>
      <c r="B479" t="str">
        <f>IF(moushikubun467="","追加",moushikubun467)</f>
        <v>追加</v>
      </c>
      <c r="C479" t="str">
        <f>shubetsu467&amp;""</f>
        <v/>
      </c>
      <c r="D479" t="str">
        <f>billid467&amp;""</f>
        <v/>
      </c>
      <c r="E479" t="str">
        <f>UPPER(SUBSTITUTE(番明[[#This Row],[ご請求番号]],"-",""))</f>
        <v/>
      </c>
      <c r="F479" t="str">
        <f>keiyakuid467&amp;""</f>
        <v/>
      </c>
      <c r="G479">
        <f>IF(companyyn467="既存コードに追加",1,0)</f>
        <v>0</v>
      </c>
      <c r="H479" t="str">
        <f>companycode467&amp;""</f>
        <v/>
      </c>
      <c r="I479" t="str">
        <f>IF(accelikkatsu467="","希望しない",accelikkatsu467)</f>
        <v>希望しない</v>
      </c>
      <c r="J479" t="str">
        <f>IF(belugabunyn467="","なし",belugabunyn467)</f>
        <v>なし</v>
      </c>
      <c r="K479" t="str">
        <f>belugabun467&amp;""</f>
        <v/>
      </c>
      <c r="L479" t="b">
        <f>shutoku467</f>
        <v>0</v>
      </c>
    </row>
    <row r="480" spans="1:12">
      <c r="A480">
        <v>468</v>
      </c>
      <c r="B480" t="str">
        <f>IF(moushikubun468="","追加",moushikubun468)</f>
        <v>追加</v>
      </c>
      <c r="C480" t="str">
        <f>shubetsu468&amp;""</f>
        <v/>
      </c>
      <c r="D480" t="str">
        <f>billid468&amp;""</f>
        <v/>
      </c>
      <c r="E480" t="str">
        <f>UPPER(SUBSTITUTE(番明[[#This Row],[ご請求番号]],"-",""))</f>
        <v/>
      </c>
      <c r="F480" t="str">
        <f>keiyakuid468&amp;""</f>
        <v/>
      </c>
      <c r="G480">
        <f>IF(companyyn468="既存コードに追加",1,0)</f>
        <v>0</v>
      </c>
      <c r="H480" t="str">
        <f>companycode468&amp;""</f>
        <v/>
      </c>
      <c r="I480" t="str">
        <f>IF(accelikkatsu468="","希望しない",accelikkatsu468)</f>
        <v>希望しない</v>
      </c>
      <c r="J480" t="str">
        <f>IF(belugabunyn468="","なし",belugabunyn468)</f>
        <v>なし</v>
      </c>
      <c r="K480" t="str">
        <f>belugabun468&amp;""</f>
        <v/>
      </c>
      <c r="L480" t="b">
        <f>shutoku468</f>
        <v>0</v>
      </c>
    </row>
    <row r="481" spans="1:12">
      <c r="A481">
        <v>469</v>
      </c>
      <c r="B481" t="str">
        <f>IF(moushikubun469="","追加",moushikubun469)</f>
        <v>追加</v>
      </c>
      <c r="C481" t="str">
        <f>shubetsu469&amp;""</f>
        <v/>
      </c>
      <c r="D481" t="str">
        <f>billid469&amp;""</f>
        <v/>
      </c>
      <c r="E481" t="str">
        <f>UPPER(SUBSTITUTE(番明[[#This Row],[ご請求番号]],"-",""))</f>
        <v/>
      </c>
      <c r="F481" t="str">
        <f>keiyakuid469&amp;""</f>
        <v/>
      </c>
      <c r="G481">
        <f>IF(companyyn469="既存コードに追加",1,0)</f>
        <v>0</v>
      </c>
      <c r="H481" t="str">
        <f>companycode469&amp;""</f>
        <v/>
      </c>
      <c r="I481" t="str">
        <f>IF(accelikkatsu469="","希望しない",accelikkatsu469)</f>
        <v>希望しない</v>
      </c>
      <c r="J481" t="str">
        <f>IF(belugabunyn469="","なし",belugabunyn469)</f>
        <v>なし</v>
      </c>
      <c r="K481" t="str">
        <f>belugabun469&amp;""</f>
        <v/>
      </c>
      <c r="L481" t="b">
        <f>shutoku469</f>
        <v>0</v>
      </c>
    </row>
    <row r="482" spans="1:12">
      <c r="A482">
        <v>470</v>
      </c>
      <c r="B482" t="str">
        <f>IF(moushikubun470="","追加",moushikubun470)</f>
        <v>追加</v>
      </c>
      <c r="C482" t="str">
        <f>shubetsu470&amp;""</f>
        <v/>
      </c>
      <c r="D482" t="str">
        <f>billid470&amp;""</f>
        <v/>
      </c>
      <c r="E482" t="str">
        <f>UPPER(SUBSTITUTE(番明[[#This Row],[ご請求番号]],"-",""))</f>
        <v/>
      </c>
      <c r="F482" t="str">
        <f>keiyakuid470&amp;""</f>
        <v/>
      </c>
      <c r="G482">
        <f>IF(companyyn470="既存コードに追加",1,0)</f>
        <v>0</v>
      </c>
      <c r="H482" t="str">
        <f>companycode470&amp;""</f>
        <v/>
      </c>
      <c r="I482" t="str">
        <f>IF(accelikkatsu470="","希望しない",accelikkatsu470)</f>
        <v>希望しない</v>
      </c>
      <c r="J482" t="str">
        <f>IF(belugabunyn470="","なし",belugabunyn470)</f>
        <v>なし</v>
      </c>
      <c r="K482" t="str">
        <f>belugabun470&amp;""</f>
        <v/>
      </c>
      <c r="L482" t="b">
        <f>shutoku470</f>
        <v>0</v>
      </c>
    </row>
    <row r="483" spans="1:12">
      <c r="A483">
        <v>471</v>
      </c>
      <c r="B483" t="str">
        <f>IF(moushikubun471="","追加",moushikubun471)</f>
        <v>追加</v>
      </c>
      <c r="C483" t="str">
        <f>shubetsu471&amp;""</f>
        <v/>
      </c>
      <c r="D483" t="str">
        <f>billid471&amp;""</f>
        <v/>
      </c>
      <c r="E483" t="str">
        <f>UPPER(SUBSTITUTE(番明[[#This Row],[ご請求番号]],"-",""))</f>
        <v/>
      </c>
      <c r="F483" t="str">
        <f>keiyakuid471&amp;""</f>
        <v/>
      </c>
      <c r="G483">
        <f>IF(companyyn471="既存コードに追加",1,0)</f>
        <v>0</v>
      </c>
      <c r="H483" t="str">
        <f>companycode471&amp;""</f>
        <v/>
      </c>
      <c r="I483" t="str">
        <f>IF(accelikkatsu471="","希望しない",accelikkatsu471)</f>
        <v>希望しない</v>
      </c>
      <c r="J483" t="str">
        <f>IF(belugabunyn471="","なし",belugabunyn471)</f>
        <v>なし</v>
      </c>
      <c r="K483" t="str">
        <f>belugabun471&amp;""</f>
        <v/>
      </c>
      <c r="L483" t="b">
        <f>shutoku471</f>
        <v>0</v>
      </c>
    </row>
    <row r="484" spans="1:12">
      <c r="A484">
        <v>472</v>
      </c>
      <c r="B484" t="str">
        <f>IF(moushikubun472="","追加",moushikubun472)</f>
        <v>追加</v>
      </c>
      <c r="C484" t="str">
        <f>shubetsu472&amp;""</f>
        <v/>
      </c>
      <c r="D484" t="str">
        <f>billid472&amp;""</f>
        <v/>
      </c>
      <c r="E484" t="str">
        <f>UPPER(SUBSTITUTE(番明[[#This Row],[ご請求番号]],"-",""))</f>
        <v/>
      </c>
      <c r="F484" t="str">
        <f>keiyakuid472&amp;""</f>
        <v/>
      </c>
      <c r="G484">
        <f>IF(companyyn472="既存コードに追加",1,0)</f>
        <v>0</v>
      </c>
      <c r="H484" t="str">
        <f>companycode472&amp;""</f>
        <v/>
      </c>
      <c r="I484" t="str">
        <f>IF(accelikkatsu472="","希望しない",accelikkatsu472)</f>
        <v>希望しない</v>
      </c>
      <c r="J484" t="str">
        <f>IF(belugabunyn472="","なし",belugabunyn472)</f>
        <v>なし</v>
      </c>
      <c r="K484" t="str">
        <f>belugabun472&amp;""</f>
        <v/>
      </c>
      <c r="L484" t="b">
        <f>shutoku472</f>
        <v>0</v>
      </c>
    </row>
    <row r="485" spans="1:12">
      <c r="A485">
        <v>473</v>
      </c>
      <c r="B485" t="str">
        <f>IF(moushikubun473="","追加",moushikubun473)</f>
        <v>追加</v>
      </c>
      <c r="C485" t="str">
        <f>shubetsu473&amp;""</f>
        <v/>
      </c>
      <c r="D485" t="str">
        <f>billid473&amp;""</f>
        <v/>
      </c>
      <c r="E485" t="str">
        <f>UPPER(SUBSTITUTE(番明[[#This Row],[ご請求番号]],"-",""))</f>
        <v/>
      </c>
      <c r="F485" t="str">
        <f>keiyakuid473&amp;""</f>
        <v/>
      </c>
      <c r="G485">
        <f>IF(companyyn473="既存コードに追加",1,0)</f>
        <v>0</v>
      </c>
      <c r="H485" t="str">
        <f>companycode473&amp;""</f>
        <v/>
      </c>
      <c r="I485" t="str">
        <f>IF(accelikkatsu473="","希望しない",accelikkatsu473)</f>
        <v>希望しない</v>
      </c>
      <c r="J485" t="str">
        <f>IF(belugabunyn473="","なし",belugabunyn473)</f>
        <v>なし</v>
      </c>
      <c r="K485" t="str">
        <f>belugabun473&amp;""</f>
        <v/>
      </c>
      <c r="L485" t="b">
        <f>shutoku473</f>
        <v>0</v>
      </c>
    </row>
    <row r="486" spans="1:12">
      <c r="A486">
        <v>474</v>
      </c>
      <c r="B486" t="str">
        <f>IF(moushikubun474="","追加",moushikubun474)</f>
        <v>追加</v>
      </c>
      <c r="C486" t="str">
        <f>shubetsu474&amp;""</f>
        <v/>
      </c>
      <c r="D486" t="str">
        <f>billid474&amp;""</f>
        <v/>
      </c>
      <c r="E486" t="str">
        <f>UPPER(SUBSTITUTE(番明[[#This Row],[ご請求番号]],"-",""))</f>
        <v/>
      </c>
      <c r="F486" t="str">
        <f>keiyakuid474&amp;""</f>
        <v/>
      </c>
      <c r="G486">
        <f>IF(companyyn474="既存コードに追加",1,0)</f>
        <v>0</v>
      </c>
      <c r="H486" t="str">
        <f>companycode474&amp;""</f>
        <v/>
      </c>
      <c r="I486" t="str">
        <f>IF(accelikkatsu474="","希望しない",accelikkatsu474)</f>
        <v>希望しない</v>
      </c>
      <c r="J486" t="str">
        <f>IF(belugabunyn474="","なし",belugabunyn474)</f>
        <v>なし</v>
      </c>
      <c r="K486" t="str">
        <f>belugabun474&amp;""</f>
        <v/>
      </c>
      <c r="L486" t="b">
        <f>shutoku474</f>
        <v>0</v>
      </c>
    </row>
    <row r="487" spans="1:12">
      <c r="A487">
        <v>475</v>
      </c>
      <c r="B487" t="str">
        <f>IF(moushikubun475="","追加",moushikubun475)</f>
        <v>追加</v>
      </c>
      <c r="C487" t="str">
        <f>shubetsu475&amp;""</f>
        <v/>
      </c>
      <c r="D487" t="str">
        <f>billid475&amp;""</f>
        <v/>
      </c>
      <c r="E487" t="str">
        <f>UPPER(SUBSTITUTE(番明[[#This Row],[ご請求番号]],"-",""))</f>
        <v/>
      </c>
      <c r="F487" t="str">
        <f>keiyakuid475&amp;""</f>
        <v/>
      </c>
      <c r="G487">
        <f>IF(companyyn475="既存コードに追加",1,0)</f>
        <v>0</v>
      </c>
      <c r="H487" t="str">
        <f>companycode475&amp;""</f>
        <v/>
      </c>
      <c r="I487" t="str">
        <f>IF(accelikkatsu475="","希望しない",accelikkatsu475)</f>
        <v>希望しない</v>
      </c>
      <c r="J487" t="str">
        <f>IF(belugabunyn475="","なし",belugabunyn475)</f>
        <v>なし</v>
      </c>
      <c r="K487" t="str">
        <f>belugabun475&amp;""</f>
        <v/>
      </c>
      <c r="L487" t="b">
        <f>shutoku475</f>
        <v>0</v>
      </c>
    </row>
    <row r="488" spans="1:12">
      <c r="A488">
        <v>476</v>
      </c>
      <c r="B488" t="str">
        <f>IF(moushikubun476="","追加",moushikubun476)</f>
        <v>追加</v>
      </c>
      <c r="C488" t="str">
        <f>shubetsu476&amp;""</f>
        <v/>
      </c>
      <c r="D488" t="str">
        <f>billid476&amp;""</f>
        <v/>
      </c>
      <c r="E488" t="str">
        <f>UPPER(SUBSTITUTE(番明[[#This Row],[ご請求番号]],"-",""))</f>
        <v/>
      </c>
      <c r="F488" t="str">
        <f>keiyakuid476&amp;""</f>
        <v/>
      </c>
      <c r="G488">
        <f>IF(companyyn476="既存コードに追加",1,0)</f>
        <v>0</v>
      </c>
      <c r="H488" t="str">
        <f>companycode476&amp;""</f>
        <v/>
      </c>
      <c r="I488" t="str">
        <f>IF(accelikkatsu476="","希望しない",accelikkatsu476)</f>
        <v>希望しない</v>
      </c>
      <c r="J488" t="str">
        <f>IF(belugabunyn476="","なし",belugabunyn476)</f>
        <v>なし</v>
      </c>
      <c r="K488" t="str">
        <f>belugabun476&amp;""</f>
        <v/>
      </c>
      <c r="L488" t="b">
        <f>shutoku476</f>
        <v>0</v>
      </c>
    </row>
    <row r="489" spans="1:12">
      <c r="A489">
        <v>477</v>
      </c>
      <c r="B489" t="str">
        <f>IF(moushikubun477="","追加",moushikubun477)</f>
        <v>追加</v>
      </c>
      <c r="C489" t="str">
        <f>shubetsu477&amp;""</f>
        <v/>
      </c>
      <c r="D489" t="str">
        <f>billid477&amp;""</f>
        <v/>
      </c>
      <c r="E489" t="str">
        <f>UPPER(SUBSTITUTE(番明[[#This Row],[ご請求番号]],"-",""))</f>
        <v/>
      </c>
      <c r="F489" t="str">
        <f>keiyakuid477&amp;""</f>
        <v/>
      </c>
      <c r="G489">
        <f>IF(companyyn477="既存コードに追加",1,0)</f>
        <v>0</v>
      </c>
      <c r="H489" t="str">
        <f>companycode477&amp;""</f>
        <v/>
      </c>
      <c r="I489" t="str">
        <f>IF(accelikkatsu477="","希望しない",accelikkatsu477)</f>
        <v>希望しない</v>
      </c>
      <c r="J489" t="str">
        <f>IF(belugabunyn477="","なし",belugabunyn477)</f>
        <v>なし</v>
      </c>
      <c r="K489" t="str">
        <f>belugabun477&amp;""</f>
        <v/>
      </c>
      <c r="L489" t="b">
        <f>shutoku477</f>
        <v>0</v>
      </c>
    </row>
    <row r="490" spans="1:12">
      <c r="A490">
        <v>478</v>
      </c>
      <c r="B490" t="str">
        <f>IF(moushikubun478="","追加",moushikubun478)</f>
        <v>追加</v>
      </c>
      <c r="C490" t="str">
        <f>shubetsu478&amp;""</f>
        <v/>
      </c>
      <c r="D490" t="str">
        <f>billid478&amp;""</f>
        <v/>
      </c>
      <c r="E490" t="str">
        <f>UPPER(SUBSTITUTE(番明[[#This Row],[ご請求番号]],"-",""))</f>
        <v/>
      </c>
      <c r="F490" t="str">
        <f>keiyakuid478&amp;""</f>
        <v/>
      </c>
      <c r="G490">
        <f>IF(companyyn478="既存コードに追加",1,0)</f>
        <v>0</v>
      </c>
      <c r="H490" t="str">
        <f>companycode478&amp;""</f>
        <v/>
      </c>
      <c r="I490" t="str">
        <f>IF(accelikkatsu478="","希望しない",accelikkatsu478)</f>
        <v>希望しない</v>
      </c>
      <c r="J490" t="str">
        <f>IF(belugabunyn478="","なし",belugabunyn478)</f>
        <v>なし</v>
      </c>
      <c r="K490" t="str">
        <f>belugabun478&amp;""</f>
        <v/>
      </c>
      <c r="L490" t="b">
        <f>shutoku478</f>
        <v>0</v>
      </c>
    </row>
    <row r="491" spans="1:12">
      <c r="A491">
        <v>479</v>
      </c>
      <c r="B491" t="str">
        <f>IF(moushikubun479="","追加",moushikubun479)</f>
        <v>追加</v>
      </c>
      <c r="C491" t="str">
        <f>shubetsu479&amp;""</f>
        <v/>
      </c>
      <c r="D491" t="str">
        <f>billid479&amp;""</f>
        <v/>
      </c>
      <c r="E491" t="str">
        <f>UPPER(SUBSTITUTE(番明[[#This Row],[ご請求番号]],"-",""))</f>
        <v/>
      </c>
      <c r="F491" t="str">
        <f>keiyakuid479&amp;""</f>
        <v/>
      </c>
      <c r="G491">
        <f>IF(companyyn479="既存コードに追加",1,0)</f>
        <v>0</v>
      </c>
      <c r="H491" t="str">
        <f>companycode479&amp;""</f>
        <v/>
      </c>
      <c r="I491" t="str">
        <f>IF(accelikkatsu479="","希望しない",accelikkatsu479)</f>
        <v>希望しない</v>
      </c>
      <c r="J491" t="str">
        <f>IF(belugabunyn479="","なし",belugabunyn479)</f>
        <v>なし</v>
      </c>
      <c r="K491" t="str">
        <f>belugabun479&amp;""</f>
        <v/>
      </c>
      <c r="L491" t="b">
        <f>shutoku479</f>
        <v>0</v>
      </c>
    </row>
    <row r="492" spans="1:12">
      <c r="A492">
        <v>480</v>
      </c>
      <c r="B492" t="str">
        <f>IF(moushikubun480="","追加",moushikubun480)</f>
        <v>追加</v>
      </c>
      <c r="C492" t="str">
        <f>shubetsu480&amp;""</f>
        <v/>
      </c>
      <c r="D492" t="str">
        <f>billid480&amp;""</f>
        <v/>
      </c>
      <c r="E492" t="str">
        <f>UPPER(SUBSTITUTE(番明[[#This Row],[ご請求番号]],"-",""))</f>
        <v/>
      </c>
      <c r="F492" t="str">
        <f>keiyakuid480&amp;""</f>
        <v/>
      </c>
      <c r="G492">
        <f>IF(companyyn480="既存コードに追加",1,0)</f>
        <v>0</v>
      </c>
      <c r="H492" t="str">
        <f>companycode480&amp;""</f>
        <v/>
      </c>
      <c r="I492" t="str">
        <f>IF(accelikkatsu480="","希望しない",accelikkatsu480)</f>
        <v>希望しない</v>
      </c>
      <c r="J492" t="str">
        <f>IF(belugabunyn480="","なし",belugabunyn480)</f>
        <v>なし</v>
      </c>
      <c r="K492" t="str">
        <f>belugabun480&amp;""</f>
        <v/>
      </c>
      <c r="L492" t="b">
        <f>shutoku480</f>
        <v>0</v>
      </c>
    </row>
    <row r="493" spans="1:12">
      <c r="A493">
        <v>481</v>
      </c>
      <c r="B493" t="str">
        <f>IF(moushikubun481="","追加",moushikubun481)</f>
        <v>追加</v>
      </c>
      <c r="C493" t="str">
        <f>shubetsu481&amp;""</f>
        <v/>
      </c>
      <c r="D493" t="str">
        <f>billid481&amp;""</f>
        <v/>
      </c>
      <c r="E493" t="str">
        <f>UPPER(SUBSTITUTE(番明[[#This Row],[ご請求番号]],"-",""))</f>
        <v/>
      </c>
      <c r="F493" t="str">
        <f>keiyakuid481&amp;""</f>
        <v/>
      </c>
      <c r="G493">
        <f>IF(companyyn481="既存コードに追加",1,0)</f>
        <v>0</v>
      </c>
      <c r="H493" t="str">
        <f>companycode481&amp;""</f>
        <v/>
      </c>
      <c r="I493" t="str">
        <f>IF(accelikkatsu481="","希望しない",accelikkatsu481)</f>
        <v>希望しない</v>
      </c>
      <c r="J493" t="str">
        <f>IF(belugabunyn481="","なし",belugabunyn481)</f>
        <v>なし</v>
      </c>
      <c r="K493" t="str">
        <f>belugabun481&amp;""</f>
        <v/>
      </c>
      <c r="L493" t="b">
        <f>shutoku481</f>
        <v>0</v>
      </c>
    </row>
    <row r="494" spans="1:12">
      <c r="A494">
        <v>482</v>
      </c>
      <c r="B494" t="str">
        <f>IF(moushikubun482="","追加",moushikubun482)</f>
        <v>追加</v>
      </c>
      <c r="C494" t="str">
        <f>shubetsu482&amp;""</f>
        <v/>
      </c>
      <c r="D494" t="str">
        <f>billid482&amp;""</f>
        <v/>
      </c>
      <c r="E494" t="str">
        <f>UPPER(SUBSTITUTE(番明[[#This Row],[ご請求番号]],"-",""))</f>
        <v/>
      </c>
      <c r="F494" t="str">
        <f>keiyakuid482&amp;""</f>
        <v/>
      </c>
      <c r="G494">
        <f>IF(companyyn482="既存コードに追加",1,0)</f>
        <v>0</v>
      </c>
      <c r="H494" t="str">
        <f>companycode482&amp;""</f>
        <v/>
      </c>
      <c r="I494" t="str">
        <f>IF(accelikkatsu482="","希望しない",accelikkatsu482)</f>
        <v>希望しない</v>
      </c>
      <c r="J494" t="str">
        <f>IF(belugabunyn482="","なし",belugabunyn482)</f>
        <v>なし</v>
      </c>
      <c r="K494" t="str">
        <f>belugabun482&amp;""</f>
        <v/>
      </c>
      <c r="L494" t="b">
        <f>shutoku482</f>
        <v>0</v>
      </c>
    </row>
    <row r="495" spans="1:12">
      <c r="A495">
        <v>483</v>
      </c>
      <c r="B495" t="str">
        <f>IF(moushikubun483="","追加",moushikubun483)</f>
        <v>追加</v>
      </c>
      <c r="C495" t="str">
        <f>shubetsu483&amp;""</f>
        <v/>
      </c>
      <c r="D495" t="str">
        <f>billid483&amp;""</f>
        <v/>
      </c>
      <c r="E495" t="str">
        <f>UPPER(SUBSTITUTE(番明[[#This Row],[ご請求番号]],"-",""))</f>
        <v/>
      </c>
      <c r="F495" t="str">
        <f>keiyakuid483&amp;""</f>
        <v/>
      </c>
      <c r="G495">
        <f>IF(companyyn483="既存コードに追加",1,0)</f>
        <v>0</v>
      </c>
      <c r="H495" t="str">
        <f>companycode483&amp;""</f>
        <v/>
      </c>
      <c r="I495" t="str">
        <f>IF(accelikkatsu483="","希望しない",accelikkatsu483)</f>
        <v>希望しない</v>
      </c>
      <c r="J495" t="str">
        <f>IF(belugabunyn483="","なし",belugabunyn483)</f>
        <v>なし</v>
      </c>
      <c r="K495" t="str">
        <f>belugabun483&amp;""</f>
        <v/>
      </c>
      <c r="L495" t="b">
        <f>shutoku483</f>
        <v>0</v>
      </c>
    </row>
    <row r="496" spans="1:12">
      <c r="A496">
        <v>484</v>
      </c>
      <c r="B496" t="str">
        <f>IF(moushikubun484="","追加",moushikubun484)</f>
        <v>追加</v>
      </c>
      <c r="C496" t="str">
        <f>shubetsu484&amp;""</f>
        <v/>
      </c>
      <c r="D496" t="str">
        <f>billid484&amp;""</f>
        <v/>
      </c>
      <c r="E496" t="str">
        <f>UPPER(SUBSTITUTE(番明[[#This Row],[ご請求番号]],"-",""))</f>
        <v/>
      </c>
      <c r="F496" t="str">
        <f>keiyakuid484&amp;""</f>
        <v/>
      </c>
      <c r="G496">
        <f>IF(companyyn484="既存コードに追加",1,0)</f>
        <v>0</v>
      </c>
      <c r="H496" t="str">
        <f>companycode484&amp;""</f>
        <v/>
      </c>
      <c r="I496" t="str">
        <f>IF(accelikkatsu484="","希望しない",accelikkatsu484)</f>
        <v>希望しない</v>
      </c>
      <c r="J496" t="str">
        <f>IF(belugabunyn484="","なし",belugabunyn484)</f>
        <v>なし</v>
      </c>
      <c r="K496" t="str">
        <f>belugabun484&amp;""</f>
        <v/>
      </c>
      <c r="L496" t="b">
        <f>shutoku484</f>
        <v>0</v>
      </c>
    </row>
    <row r="497" spans="1:12">
      <c r="A497">
        <v>485</v>
      </c>
      <c r="B497" t="str">
        <f>IF(moushikubun485="","追加",moushikubun485)</f>
        <v>追加</v>
      </c>
      <c r="C497" t="str">
        <f>shubetsu485&amp;""</f>
        <v/>
      </c>
      <c r="D497" t="str">
        <f>billid485&amp;""</f>
        <v/>
      </c>
      <c r="E497" t="str">
        <f>UPPER(SUBSTITUTE(番明[[#This Row],[ご請求番号]],"-",""))</f>
        <v/>
      </c>
      <c r="F497" t="str">
        <f>keiyakuid485&amp;""</f>
        <v/>
      </c>
      <c r="G497">
        <f>IF(companyyn485="既存コードに追加",1,0)</f>
        <v>0</v>
      </c>
      <c r="H497" t="str">
        <f>companycode485&amp;""</f>
        <v/>
      </c>
      <c r="I497" t="str">
        <f>IF(accelikkatsu485="","希望しない",accelikkatsu485)</f>
        <v>希望しない</v>
      </c>
      <c r="J497" t="str">
        <f>IF(belugabunyn485="","なし",belugabunyn485)</f>
        <v>なし</v>
      </c>
      <c r="K497" t="str">
        <f>belugabun485&amp;""</f>
        <v/>
      </c>
      <c r="L497" t="b">
        <f>shutoku485</f>
        <v>0</v>
      </c>
    </row>
    <row r="498" spans="1:12">
      <c r="A498">
        <v>486</v>
      </c>
      <c r="B498" t="str">
        <f>IF(moushikubun486="","追加",moushikubun486)</f>
        <v>追加</v>
      </c>
      <c r="C498" t="str">
        <f>shubetsu486&amp;""</f>
        <v/>
      </c>
      <c r="D498" t="str">
        <f>billid486&amp;""</f>
        <v/>
      </c>
      <c r="E498" t="str">
        <f>UPPER(SUBSTITUTE(番明[[#This Row],[ご請求番号]],"-",""))</f>
        <v/>
      </c>
      <c r="F498" t="str">
        <f>keiyakuid486&amp;""</f>
        <v/>
      </c>
      <c r="G498">
        <f>IF(companyyn486="既存コードに追加",1,0)</f>
        <v>0</v>
      </c>
      <c r="H498" t="str">
        <f>companycode486&amp;""</f>
        <v/>
      </c>
      <c r="I498" t="str">
        <f>IF(accelikkatsu486="","希望しない",accelikkatsu486)</f>
        <v>希望しない</v>
      </c>
      <c r="J498" t="str">
        <f>IF(belugabunyn486="","なし",belugabunyn486)</f>
        <v>なし</v>
      </c>
      <c r="K498" t="str">
        <f>belugabun486&amp;""</f>
        <v/>
      </c>
      <c r="L498" t="b">
        <f>shutoku486</f>
        <v>0</v>
      </c>
    </row>
    <row r="499" spans="1:12">
      <c r="A499">
        <v>487</v>
      </c>
      <c r="B499" t="str">
        <f>IF(moushikubun487="","追加",moushikubun487)</f>
        <v>追加</v>
      </c>
      <c r="C499" t="str">
        <f>shubetsu487&amp;""</f>
        <v/>
      </c>
      <c r="D499" t="str">
        <f>billid487&amp;""</f>
        <v/>
      </c>
      <c r="E499" t="str">
        <f>UPPER(SUBSTITUTE(番明[[#This Row],[ご請求番号]],"-",""))</f>
        <v/>
      </c>
      <c r="F499" t="str">
        <f>keiyakuid487&amp;""</f>
        <v/>
      </c>
      <c r="G499">
        <f>IF(companyyn487="既存コードに追加",1,0)</f>
        <v>0</v>
      </c>
      <c r="H499" t="str">
        <f>companycode487&amp;""</f>
        <v/>
      </c>
      <c r="I499" t="str">
        <f>IF(accelikkatsu487="","希望しない",accelikkatsu487)</f>
        <v>希望しない</v>
      </c>
      <c r="J499" t="str">
        <f>IF(belugabunyn487="","なし",belugabunyn487)</f>
        <v>なし</v>
      </c>
      <c r="K499" t="str">
        <f>belugabun487&amp;""</f>
        <v/>
      </c>
      <c r="L499" t="b">
        <f>shutoku487</f>
        <v>0</v>
      </c>
    </row>
    <row r="500" spans="1:12">
      <c r="A500">
        <v>488</v>
      </c>
      <c r="B500" t="str">
        <f>IF(moushikubun488="","追加",moushikubun488)</f>
        <v>追加</v>
      </c>
      <c r="C500" t="str">
        <f>shubetsu488&amp;""</f>
        <v/>
      </c>
      <c r="D500" t="str">
        <f>billid488&amp;""</f>
        <v/>
      </c>
      <c r="E500" t="str">
        <f>UPPER(SUBSTITUTE(番明[[#This Row],[ご請求番号]],"-",""))</f>
        <v/>
      </c>
      <c r="F500" t="str">
        <f>keiyakuid488&amp;""</f>
        <v/>
      </c>
      <c r="G500">
        <f>IF(companyyn488="既存コードに追加",1,0)</f>
        <v>0</v>
      </c>
      <c r="H500" t="str">
        <f>companycode488&amp;""</f>
        <v/>
      </c>
      <c r="I500" t="str">
        <f>IF(accelikkatsu488="","希望しない",accelikkatsu488)</f>
        <v>希望しない</v>
      </c>
      <c r="J500" t="str">
        <f>IF(belugabunyn488="","なし",belugabunyn488)</f>
        <v>なし</v>
      </c>
      <c r="K500" t="str">
        <f>belugabun488&amp;""</f>
        <v/>
      </c>
      <c r="L500" t="b">
        <f>shutoku488</f>
        <v>0</v>
      </c>
    </row>
    <row r="501" spans="1:12">
      <c r="A501">
        <v>489</v>
      </c>
      <c r="B501" t="str">
        <f>IF(moushikubun489="","追加",moushikubun489)</f>
        <v>追加</v>
      </c>
      <c r="C501" t="str">
        <f>shubetsu489&amp;""</f>
        <v/>
      </c>
      <c r="D501" t="str">
        <f>billid489&amp;""</f>
        <v/>
      </c>
      <c r="E501" t="str">
        <f>UPPER(SUBSTITUTE(番明[[#This Row],[ご請求番号]],"-",""))</f>
        <v/>
      </c>
      <c r="F501" t="str">
        <f>keiyakuid489&amp;""</f>
        <v/>
      </c>
      <c r="G501">
        <f>IF(companyyn489="既存コードに追加",1,0)</f>
        <v>0</v>
      </c>
      <c r="H501" t="str">
        <f>companycode489&amp;""</f>
        <v/>
      </c>
      <c r="I501" t="str">
        <f>IF(accelikkatsu489="","希望しない",accelikkatsu489)</f>
        <v>希望しない</v>
      </c>
      <c r="J501" t="str">
        <f>IF(belugabunyn489="","なし",belugabunyn489)</f>
        <v>なし</v>
      </c>
      <c r="K501" t="str">
        <f>belugabun489&amp;""</f>
        <v/>
      </c>
      <c r="L501" t="b">
        <f>shutoku489</f>
        <v>0</v>
      </c>
    </row>
    <row r="502" spans="1:12">
      <c r="A502">
        <v>490</v>
      </c>
      <c r="B502" t="str">
        <f>IF(moushikubun490="","追加",moushikubun490)</f>
        <v>追加</v>
      </c>
      <c r="C502" t="str">
        <f>shubetsu490&amp;""</f>
        <v/>
      </c>
      <c r="D502" t="str">
        <f>billid490&amp;""</f>
        <v/>
      </c>
      <c r="E502" t="str">
        <f>UPPER(SUBSTITUTE(番明[[#This Row],[ご請求番号]],"-",""))</f>
        <v/>
      </c>
      <c r="F502" t="str">
        <f>keiyakuid490&amp;""</f>
        <v/>
      </c>
      <c r="G502">
        <f>IF(companyyn490="既存コードに追加",1,0)</f>
        <v>0</v>
      </c>
      <c r="H502" t="str">
        <f>companycode490&amp;""</f>
        <v/>
      </c>
      <c r="I502" t="str">
        <f>IF(accelikkatsu490="","希望しない",accelikkatsu490)</f>
        <v>希望しない</v>
      </c>
      <c r="J502" t="str">
        <f>IF(belugabunyn490="","なし",belugabunyn490)</f>
        <v>なし</v>
      </c>
      <c r="K502" t="str">
        <f>belugabun490&amp;""</f>
        <v/>
      </c>
      <c r="L502" t="b">
        <f>shutoku490</f>
        <v>0</v>
      </c>
    </row>
    <row r="503" spans="1:12">
      <c r="A503">
        <v>491</v>
      </c>
      <c r="B503" t="str">
        <f>IF(moushikubun491="","追加",moushikubun491)</f>
        <v>追加</v>
      </c>
      <c r="C503" t="str">
        <f>shubetsu491&amp;""</f>
        <v/>
      </c>
      <c r="D503" t="str">
        <f>billid491&amp;""</f>
        <v/>
      </c>
      <c r="E503" t="str">
        <f>UPPER(SUBSTITUTE(番明[[#This Row],[ご請求番号]],"-",""))</f>
        <v/>
      </c>
      <c r="F503" t="str">
        <f>keiyakuid491&amp;""</f>
        <v/>
      </c>
      <c r="G503">
        <f>IF(companyyn491="既存コードに追加",1,0)</f>
        <v>0</v>
      </c>
      <c r="H503" t="str">
        <f>companycode491&amp;""</f>
        <v/>
      </c>
      <c r="I503" t="str">
        <f>IF(accelikkatsu491="","希望しない",accelikkatsu491)</f>
        <v>希望しない</v>
      </c>
      <c r="J503" t="str">
        <f>IF(belugabunyn491="","なし",belugabunyn491)</f>
        <v>なし</v>
      </c>
      <c r="K503" t="str">
        <f>belugabun491&amp;""</f>
        <v/>
      </c>
      <c r="L503" t="b">
        <f>shutoku491</f>
        <v>0</v>
      </c>
    </row>
    <row r="504" spans="1:12">
      <c r="A504">
        <v>492</v>
      </c>
      <c r="B504" t="str">
        <f>IF(moushikubun492="","追加",moushikubun492)</f>
        <v>追加</v>
      </c>
      <c r="C504" t="str">
        <f>shubetsu492&amp;""</f>
        <v/>
      </c>
      <c r="D504" t="str">
        <f>billid492&amp;""</f>
        <v/>
      </c>
      <c r="E504" t="str">
        <f>UPPER(SUBSTITUTE(番明[[#This Row],[ご請求番号]],"-",""))</f>
        <v/>
      </c>
      <c r="F504" t="str">
        <f>keiyakuid492&amp;""</f>
        <v/>
      </c>
      <c r="G504">
        <f>IF(companyyn492="既存コードに追加",1,0)</f>
        <v>0</v>
      </c>
      <c r="H504" t="str">
        <f>companycode492&amp;""</f>
        <v/>
      </c>
      <c r="I504" t="str">
        <f>IF(accelikkatsu492="","希望しない",accelikkatsu492)</f>
        <v>希望しない</v>
      </c>
      <c r="J504" t="str">
        <f>IF(belugabunyn492="","なし",belugabunyn492)</f>
        <v>なし</v>
      </c>
      <c r="K504" t="str">
        <f>belugabun492&amp;""</f>
        <v/>
      </c>
      <c r="L504" t="b">
        <f>shutoku492</f>
        <v>0</v>
      </c>
    </row>
    <row r="505" spans="1:12">
      <c r="A505">
        <v>493</v>
      </c>
      <c r="B505" t="str">
        <f>IF(moushikubun493="","追加",moushikubun493)</f>
        <v>追加</v>
      </c>
      <c r="C505" t="str">
        <f>shubetsu493&amp;""</f>
        <v/>
      </c>
      <c r="D505" t="str">
        <f>billid493&amp;""</f>
        <v/>
      </c>
      <c r="E505" t="str">
        <f>UPPER(SUBSTITUTE(番明[[#This Row],[ご請求番号]],"-",""))</f>
        <v/>
      </c>
      <c r="F505" t="str">
        <f>keiyakuid493&amp;""</f>
        <v/>
      </c>
      <c r="G505">
        <f>IF(companyyn493="既存コードに追加",1,0)</f>
        <v>0</v>
      </c>
      <c r="H505" t="str">
        <f>companycode493&amp;""</f>
        <v/>
      </c>
      <c r="I505" t="str">
        <f>IF(accelikkatsu493="","希望しない",accelikkatsu493)</f>
        <v>希望しない</v>
      </c>
      <c r="J505" t="str">
        <f>IF(belugabunyn493="","なし",belugabunyn493)</f>
        <v>なし</v>
      </c>
      <c r="K505" t="str">
        <f>belugabun493&amp;""</f>
        <v/>
      </c>
      <c r="L505" t="b">
        <f>shutoku493</f>
        <v>0</v>
      </c>
    </row>
    <row r="506" spans="1:12">
      <c r="A506">
        <v>494</v>
      </c>
      <c r="B506" t="str">
        <f>IF(moushikubun494="","追加",moushikubun494)</f>
        <v>追加</v>
      </c>
      <c r="C506" t="str">
        <f>shubetsu494&amp;""</f>
        <v/>
      </c>
      <c r="D506" t="str">
        <f>billid494&amp;""</f>
        <v/>
      </c>
      <c r="E506" t="str">
        <f>UPPER(SUBSTITUTE(番明[[#This Row],[ご請求番号]],"-",""))</f>
        <v/>
      </c>
      <c r="F506" t="str">
        <f>keiyakuid494&amp;""</f>
        <v/>
      </c>
      <c r="G506">
        <f>IF(companyyn494="既存コードに追加",1,0)</f>
        <v>0</v>
      </c>
      <c r="H506" t="str">
        <f>companycode494&amp;""</f>
        <v/>
      </c>
      <c r="I506" t="str">
        <f>IF(accelikkatsu494="","希望しない",accelikkatsu494)</f>
        <v>希望しない</v>
      </c>
      <c r="J506" t="str">
        <f>IF(belugabunyn494="","なし",belugabunyn494)</f>
        <v>なし</v>
      </c>
      <c r="K506" t="str">
        <f>belugabun494&amp;""</f>
        <v/>
      </c>
      <c r="L506" t="b">
        <f>shutoku494</f>
        <v>0</v>
      </c>
    </row>
    <row r="507" spans="1:12">
      <c r="A507">
        <v>495</v>
      </c>
      <c r="B507" t="str">
        <f>IF(moushikubun495="","追加",moushikubun495)</f>
        <v>追加</v>
      </c>
      <c r="C507" t="str">
        <f>shubetsu495&amp;""</f>
        <v/>
      </c>
      <c r="D507" t="str">
        <f>billid495&amp;""</f>
        <v/>
      </c>
      <c r="E507" t="str">
        <f>UPPER(SUBSTITUTE(番明[[#This Row],[ご請求番号]],"-",""))</f>
        <v/>
      </c>
      <c r="F507" t="str">
        <f>keiyakuid495&amp;""</f>
        <v/>
      </c>
      <c r="G507">
        <f>IF(companyyn495="既存コードに追加",1,0)</f>
        <v>0</v>
      </c>
      <c r="H507" t="str">
        <f>companycode495&amp;""</f>
        <v/>
      </c>
      <c r="I507" t="str">
        <f>IF(accelikkatsu495="","希望しない",accelikkatsu495)</f>
        <v>希望しない</v>
      </c>
      <c r="J507" t="str">
        <f>IF(belugabunyn495="","なし",belugabunyn495)</f>
        <v>なし</v>
      </c>
      <c r="K507" t="str">
        <f>belugabun495&amp;""</f>
        <v/>
      </c>
      <c r="L507" t="b">
        <f>shutoku495</f>
        <v>0</v>
      </c>
    </row>
    <row r="508" spans="1:12">
      <c r="A508">
        <v>496</v>
      </c>
      <c r="B508" t="str">
        <f>IF(moushikubun496="","追加",moushikubun496)</f>
        <v>追加</v>
      </c>
      <c r="C508" t="str">
        <f>shubetsu496&amp;""</f>
        <v/>
      </c>
      <c r="D508" t="str">
        <f>billid496&amp;""</f>
        <v/>
      </c>
      <c r="E508" t="str">
        <f>UPPER(SUBSTITUTE(番明[[#This Row],[ご請求番号]],"-",""))</f>
        <v/>
      </c>
      <c r="F508" t="str">
        <f>keiyakuid496&amp;""</f>
        <v/>
      </c>
      <c r="G508">
        <f>IF(companyyn496="既存コードに追加",1,0)</f>
        <v>0</v>
      </c>
      <c r="H508" t="str">
        <f>companycode496&amp;""</f>
        <v/>
      </c>
      <c r="I508" t="str">
        <f>IF(accelikkatsu496="","希望しない",accelikkatsu496)</f>
        <v>希望しない</v>
      </c>
      <c r="J508" t="str">
        <f>IF(belugabunyn496="","なし",belugabunyn496)</f>
        <v>なし</v>
      </c>
      <c r="K508" t="str">
        <f>belugabun496&amp;""</f>
        <v/>
      </c>
      <c r="L508" t="b">
        <f>shutoku496</f>
        <v>0</v>
      </c>
    </row>
    <row r="509" spans="1:12">
      <c r="A509">
        <v>497</v>
      </c>
      <c r="B509" t="str">
        <f>IF(moushikubun497="","追加",moushikubun497)</f>
        <v>追加</v>
      </c>
      <c r="C509" t="str">
        <f>shubetsu497&amp;""</f>
        <v/>
      </c>
      <c r="D509" t="str">
        <f>billid497&amp;""</f>
        <v/>
      </c>
      <c r="E509" t="str">
        <f>UPPER(SUBSTITUTE(番明[[#This Row],[ご請求番号]],"-",""))</f>
        <v/>
      </c>
      <c r="F509" t="str">
        <f>keiyakuid497&amp;""</f>
        <v/>
      </c>
      <c r="G509">
        <f>IF(companyyn497="既存コードに追加",1,0)</f>
        <v>0</v>
      </c>
      <c r="H509" t="str">
        <f>companycode497&amp;""</f>
        <v/>
      </c>
      <c r="I509" t="str">
        <f>IF(accelikkatsu497="","希望しない",accelikkatsu497)</f>
        <v>希望しない</v>
      </c>
      <c r="J509" t="str">
        <f>IF(belugabunyn497="","なし",belugabunyn497)</f>
        <v>なし</v>
      </c>
      <c r="K509" t="str">
        <f>belugabun497&amp;""</f>
        <v/>
      </c>
      <c r="L509" t="b">
        <f>shutoku497</f>
        <v>0</v>
      </c>
    </row>
    <row r="510" spans="1:12">
      <c r="A510">
        <v>498</v>
      </c>
      <c r="B510" t="str">
        <f>IF(moushikubun498="","追加",moushikubun498)</f>
        <v>追加</v>
      </c>
      <c r="C510" t="str">
        <f>shubetsu498&amp;""</f>
        <v/>
      </c>
      <c r="D510" t="str">
        <f>billid498&amp;""</f>
        <v/>
      </c>
      <c r="E510" t="str">
        <f>UPPER(SUBSTITUTE(番明[[#This Row],[ご請求番号]],"-",""))</f>
        <v/>
      </c>
      <c r="F510" t="str">
        <f>keiyakuid498&amp;""</f>
        <v/>
      </c>
      <c r="G510">
        <f>IF(companyyn498="既存コードに追加",1,0)</f>
        <v>0</v>
      </c>
      <c r="H510" t="str">
        <f>companycode498&amp;""</f>
        <v/>
      </c>
      <c r="I510" t="str">
        <f>IF(accelikkatsu498="","希望しない",accelikkatsu498)</f>
        <v>希望しない</v>
      </c>
      <c r="J510" t="str">
        <f>IF(belugabunyn498="","なし",belugabunyn498)</f>
        <v>なし</v>
      </c>
      <c r="K510" t="str">
        <f>belugabun498&amp;""</f>
        <v/>
      </c>
      <c r="L510" t="b">
        <f>shutoku498</f>
        <v>0</v>
      </c>
    </row>
    <row r="511" spans="1:12">
      <c r="A511">
        <v>499</v>
      </c>
      <c r="B511" t="str">
        <f>IF(moushikubun499="","追加",moushikubun499)</f>
        <v>追加</v>
      </c>
      <c r="C511" t="str">
        <f>shubetsu499&amp;""</f>
        <v/>
      </c>
      <c r="D511" t="str">
        <f>billid499&amp;""</f>
        <v/>
      </c>
      <c r="E511" t="str">
        <f>UPPER(SUBSTITUTE(番明[[#This Row],[ご請求番号]],"-",""))</f>
        <v/>
      </c>
      <c r="F511" t="str">
        <f>keiyakuid499&amp;""</f>
        <v/>
      </c>
      <c r="G511">
        <f>IF(companyyn499="既存コードに追加",1,0)</f>
        <v>0</v>
      </c>
      <c r="H511" t="str">
        <f>companycode499&amp;""</f>
        <v/>
      </c>
      <c r="I511" t="str">
        <f>IF(accelikkatsu499="","希望しない",accelikkatsu499)</f>
        <v>希望しない</v>
      </c>
      <c r="J511" t="str">
        <f>IF(belugabunyn499="","なし",belugabunyn499)</f>
        <v>なし</v>
      </c>
      <c r="K511" t="str">
        <f>belugabun499&amp;""</f>
        <v/>
      </c>
      <c r="L511" t="b">
        <f>shutoku499</f>
        <v>0</v>
      </c>
    </row>
    <row r="512" spans="1:12">
      <c r="A512">
        <v>500</v>
      </c>
      <c r="B512" t="str">
        <f>IF(moushikubun500="","追加",moushikubun500)</f>
        <v>追加</v>
      </c>
      <c r="C512" t="str">
        <f>shubetsu500&amp;""</f>
        <v/>
      </c>
      <c r="D512" t="str">
        <f>billid500&amp;""</f>
        <v/>
      </c>
      <c r="E512" t="str">
        <f>UPPER(SUBSTITUTE(番明[[#This Row],[ご請求番号]],"-",""))</f>
        <v/>
      </c>
      <c r="F512" t="str">
        <f>keiyakuid500&amp;""</f>
        <v/>
      </c>
      <c r="G512">
        <f>IF(companyyn500="既存コードに追加",1,0)</f>
        <v>0</v>
      </c>
      <c r="H512" t="str">
        <f>companycode500&amp;""</f>
        <v/>
      </c>
      <c r="I512" t="str">
        <f>IF(accelikkatsu500="","希望しない",accelikkatsu500)</f>
        <v>希望しない</v>
      </c>
      <c r="J512" t="str">
        <f>IF(belugabunyn500="","なし",belugabunyn500)</f>
        <v>なし</v>
      </c>
      <c r="K512" t="str">
        <f>belugabun500&amp;""</f>
        <v/>
      </c>
      <c r="L512" t="b">
        <f>shutoku500</f>
        <v>0</v>
      </c>
    </row>
  </sheetData>
  <phoneticPr fontId="1"/>
  <pageMargins left="0.7" right="0.7" top="0.75" bottom="0.75" header="0.3" footer="0.3"/>
  <pageSetup paperSize="9" orientation="portrait" r:id="rId1"/>
  <tableParts count="4">
    <tablePart r:id="rId2"/>
    <tablePart r:id="rId3"/>
    <tablePart r:id="rId4"/>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61D28-5738-470B-B963-DDBDA7C21E6A}">
  <dimension ref="A3:A21"/>
  <sheetViews>
    <sheetView workbookViewId="0">
      <selection activeCell="E2" sqref="E2:Q2"/>
    </sheetView>
  </sheetViews>
  <sheetFormatPr defaultRowHeight="13.5"/>
  <cols>
    <col min="1" max="1" width="32.25" customWidth="1"/>
  </cols>
  <sheetData>
    <row r="3" spans="1:1" ht="27">
      <c r="A3" s="7" t="s">
        <v>207</v>
      </c>
    </row>
    <row r="4" spans="1:1">
      <c r="A4" s="7" t="s">
        <v>208</v>
      </c>
    </row>
    <row r="5" spans="1:1">
      <c r="A5" t="s">
        <v>209</v>
      </c>
    </row>
    <row r="6" spans="1:1">
      <c r="A6" t="s">
        <v>210</v>
      </c>
    </row>
    <row r="9" spans="1:1">
      <c r="A9" t="s">
        <v>211</v>
      </c>
    </row>
    <row r="10" spans="1:1">
      <c r="A10" t="s">
        <v>212</v>
      </c>
    </row>
    <row r="11" spans="1:1">
      <c r="A11" t="s">
        <v>213</v>
      </c>
    </row>
    <row r="13" spans="1:1">
      <c r="A13" t="s">
        <v>214</v>
      </c>
    </row>
    <row r="15" spans="1:1" ht="16.5">
      <c r="A15" s="8" t="s">
        <v>215</v>
      </c>
    </row>
    <row r="19" spans="1:1">
      <c r="A19" t="s">
        <v>216</v>
      </c>
    </row>
    <row r="20" spans="1:1">
      <c r="A20" t="s">
        <v>217</v>
      </c>
    </row>
    <row r="21" spans="1:1">
      <c r="A21" t="s">
        <v>218</v>
      </c>
    </row>
  </sheetData>
  <phoneticPr fontId="1"/>
  <pageMargins left="0.7" right="0.7" top="0.75" bottom="0.75" header="0.3" footer="0.3"/>
  <pageSetup paperSize="0" orientation="portrait" horizontalDpi="0" verticalDpi="0" copies="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37be5a6-7274-453e-8949-6b4e16d48edb" xsi:nil="true"/>
    <lcf76f155ced4ddcb4097134ff3c332f xmlns="a8e6cb0d-bb3d-449c-b702-58119383dc93">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180F4E9C1AB8045B6C34C8F903AEFCB" ma:contentTypeVersion="20" ma:contentTypeDescription="新しいドキュメントを作成します。" ma:contentTypeScope="" ma:versionID="ce32458ced44c4a89c22ff2c0bb3ece6">
  <xsd:schema xmlns:xsd="http://www.w3.org/2001/XMLSchema" xmlns:xs="http://www.w3.org/2001/XMLSchema" xmlns:p="http://schemas.microsoft.com/office/2006/metadata/properties" xmlns:ns1="http://schemas.microsoft.com/sharepoint/v3" xmlns:ns2="a8e6cb0d-bb3d-449c-b702-58119383dc93" xmlns:ns3="737be5a6-7274-453e-8949-6b4e16d48edb" targetNamespace="http://schemas.microsoft.com/office/2006/metadata/properties" ma:root="true" ma:fieldsID="5953f4bbac1e6d1e074fc01ac997646e" ns1:_="" ns2:_="" ns3:_="">
    <xsd:import namespace="http://schemas.microsoft.com/sharepoint/v3"/>
    <xsd:import namespace="a8e6cb0d-bb3d-449c-b702-58119383dc93"/>
    <xsd:import namespace="737be5a6-7274-453e-8949-6b4e16d48ed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1:_ip_UnifiedCompliancePolicyProperties" minOccurs="0"/>
                <xsd:element ref="ns1:_ip_UnifiedCompliancePolicyUIAction"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統合コンプライアンス ポリシーのプロパティ" ma:hidden="true" ma:internalName="_ip_UnifiedCompliancePolicyProperties">
      <xsd:simpleType>
        <xsd:restriction base="dms:Note"/>
      </xsd:simpleType>
    </xsd:element>
    <xsd:element name="_ip_UnifiedCompliancePolicyUIAction" ma:index="17"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e6cb0d-bb3d-449c-b702-58119383dc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37be5a6-7274-453e-8949-6b4e16d48edb" elementFormDefault="qualified">
    <xsd:import namespace="http://schemas.microsoft.com/office/2006/documentManagement/types"/>
    <xsd:import namespace="http://schemas.microsoft.com/office/infopath/2007/PartnerControls"/>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element name="TaxCatchAll" ma:index="25" nillable="true" ma:displayName="Taxonomy Catch All Column" ma:hidden="true" ma:list="{c70e338a-b464-4364-b728-cfb8235a3404}" ma:internalName="TaxCatchAll" ma:showField="CatchAllData" ma:web="737be5a6-7274-453e-8949-6b4e16d48e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4AD6E76-45E9-4BFD-BB1F-87E1A8AB8DC5}">
  <ds:schemaRefs>
    <ds:schemaRef ds:uri="http://schemas.microsoft.com/sharepoint/v3/contenttype/forms"/>
  </ds:schemaRefs>
</ds:datastoreItem>
</file>

<file path=customXml/itemProps2.xml><?xml version="1.0" encoding="utf-8"?>
<ds:datastoreItem xmlns:ds="http://schemas.openxmlformats.org/officeDocument/2006/customXml" ds:itemID="{4160B38E-6322-4AF9-838F-BDBC02A613A3}">
  <ds:schemaRefs>
    <ds:schemaRef ds:uri="http://schemas.microsoft.com/office/infopath/2007/PartnerControls"/>
    <ds:schemaRef ds:uri="http://purl.org/dc/terms/"/>
    <ds:schemaRef ds:uri="http://purl.org/dc/elements/1.1/"/>
    <ds:schemaRef ds:uri="http://purl.org/dc/dcmitype/"/>
    <ds:schemaRef ds:uri="a8e6cb0d-bb3d-449c-b702-58119383dc93"/>
    <ds:schemaRef ds:uri="http://schemas.microsoft.com/office/2006/documentManagement/types"/>
    <ds:schemaRef ds:uri="http://schemas.openxmlformats.org/package/2006/metadata/core-properties"/>
    <ds:schemaRef ds:uri="http://www.w3.org/XML/1998/namespace"/>
    <ds:schemaRef ds:uri="737be5a6-7274-453e-8949-6b4e16d48edb"/>
    <ds:schemaRef ds:uri="http://schemas.microsoft.com/sharepoint/v3"/>
    <ds:schemaRef ds:uri="http://schemas.microsoft.com/office/2006/metadata/properties"/>
  </ds:schemaRefs>
</ds:datastoreItem>
</file>

<file path=customXml/itemProps3.xml><?xml version="1.0" encoding="utf-8"?>
<ds:datastoreItem xmlns:ds="http://schemas.openxmlformats.org/officeDocument/2006/customXml" ds:itemID="{7B7A7681-63E5-4356-9DFA-CD96AC4AF5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8e6cb0d-bb3d-449c-b702-58119383dc93"/>
    <ds:schemaRef ds:uri="737be5a6-7274-453e-8949-6b4e16d48e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5024</vt:i4>
      </vt:variant>
    </vt:vector>
  </HeadingPairs>
  <TitlesOfParts>
    <vt:vector size="5030" baseType="lpstr">
      <vt:lpstr>変更お申込書</vt:lpstr>
      <vt:lpstr>変更別紙</vt:lpstr>
      <vt:lpstr>【記載例】変更お申込書</vt:lpstr>
      <vt:lpstr>【記載例】変更別紙</vt:lpstr>
      <vt:lpstr>table（隠す）変更</vt:lpstr>
      <vt:lpstr>選択肢（隠す）変更</vt:lpstr>
      <vt:lpstr>accelikkatsu001</vt:lpstr>
      <vt:lpstr>accelikkatsu002</vt:lpstr>
      <vt:lpstr>accelikkatsu003</vt:lpstr>
      <vt:lpstr>accelikkatsu004</vt:lpstr>
      <vt:lpstr>accelikkatsu005</vt:lpstr>
      <vt:lpstr>accelikkatsu006</vt:lpstr>
      <vt:lpstr>accelikkatsu007</vt:lpstr>
      <vt:lpstr>accelikkatsu008</vt:lpstr>
      <vt:lpstr>accelikkatsu009</vt:lpstr>
      <vt:lpstr>accelikkatsu010</vt:lpstr>
      <vt:lpstr>accelikkatsu011</vt:lpstr>
      <vt:lpstr>accelikkatsu012</vt:lpstr>
      <vt:lpstr>accelikkatsu013</vt:lpstr>
      <vt:lpstr>accelikkatsu014</vt:lpstr>
      <vt:lpstr>accelikkatsu015</vt:lpstr>
      <vt:lpstr>accelikkatsu016</vt:lpstr>
      <vt:lpstr>accelikkatsu017</vt:lpstr>
      <vt:lpstr>accelikkatsu018</vt:lpstr>
      <vt:lpstr>accelikkatsu019</vt:lpstr>
      <vt:lpstr>accelikkatsu020</vt:lpstr>
      <vt:lpstr>accelikkatsu021</vt:lpstr>
      <vt:lpstr>accelikkatsu022</vt:lpstr>
      <vt:lpstr>accelikkatsu023</vt:lpstr>
      <vt:lpstr>accelikkatsu024</vt:lpstr>
      <vt:lpstr>accelikkatsu025</vt:lpstr>
      <vt:lpstr>accelikkatsu026</vt:lpstr>
      <vt:lpstr>accelikkatsu027</vt:lpstr>
      <vt:lpstr>accelikkatsu028</vt:lpstr>
      <vt:lpstr>accelikkatsu029</vt:lpstr>
      <vt:lpstr>accelikkatsu030</vt:lpstr>
      <vt:lpstr>accelikkatsu031</vt:lpstr>
      <vt:lpstr>accelikkatsu032</vt:lpstr>
      <vt:lpstr>accelikkatsu033</vt:lpstr>
      <vt:lpstr>accelikkatsu034</vt:lpstr>
      <vt:lpstr>accelikkatsu035</vt:lpstr>
      <vt:lpstr>accelikkatsu036</vt:lpstr>
      <vt:lpstr>accelikkatsu037</vt:lpstr>
      <vt:lpstr>accelikkatsu038</vt:lpstr>
      <vt:lpstr>accelikkatsu039</vt:lpstr>
      <vt:lpstr>accelikkatsu040</vt:lpstr>
      <vt:lpstr>accelikkatsu041</vt:lpstr>
      <vt:lpstr>accelikkatsu042</vt:lpstr>
      <vt:lpstr>accelikkatsu043</vt:lpstr>
      <vt:lpstr>accelikkatsu044</vt:lpstr>
      <vt:lpstr>accelikkatsu045</vt:lpstr>
      <vt:lpstr>accelikkatsu046</vt:lpstr>
      <vt:lpstr>accelikkatsu047</vt:lpstr>
      <vt:lpstr>accelikkatsu048</vt:lpstr>
      <vt:lpstr>accelikkatsu049</vt:lpstr>
      <vt:lpstr>accelikkatsu050</vt:lpstr>
      <vt:lpstr>accelikkatsu051</vt:lpstr>
      <vt:lpstr>accelikkatsu052</vt:lpstr>
      <vt:lpstr>accelikkatsu053</vt:lpstr>
      <vt:lpstr>accelikkatsu054</vt:lpstr>
      <vt:lpstr>accelikkatsu055</vt:lpstr>
      <vt:lpstr>accelikkatsu056</vt:lpstr>
      <vt:lpstr>accelikkatsu057</vt:lpstr>
      <vt:lpstr>accelikkatsu058</vt:lpstr>
      <vt:lpstr>accelikkatsu059</vt:lpstr>
      <vt:lpstr>accelikkatsu060</vt:lpstr>
      <vt:lpstr>accelikkatsu061</vt:lpstr>
      <vt:lpstr>accelikkatsu062</vt:lpstr>
      <vt:lpstr>accelikkatsu063</vt:lpstr>
      <vt:lpstr>accelikkatsu064</vt:lpstr>
      <vt:lpstr>accelikkatsu065</vt:lpstr>
      <vt:lpstr>accelikkatsu066</vt:lpstr>
      <vt:lpstr>accelikkatsu067</vt:lpstr>
      <vt:lpstr>accelikkatsu068</vt:lpstr>
      <vt:lpstr>accelikkatsu069</vt:lpstr>
      <vt:lpstr>accelikkatsu070</vt:lpstr>
      <vt:lpstr>accelikkatsu071</vt:lpstr>
      <vt:lpstr>accelikkatsu072</vt:lpstr>
      <vt:lpstr>accelikkatsu073</vt:lpstr>
      <vt:lpstr>accelikkatsu074</vt:lpstr>
      <vt:lpstr>accelikkatsu075</vt:lpstr>
      <vt:lpstr>accelikkatsu076</vt:lpstr>
      <vt:lpstr>accelikkatsu077</vt:lpstr>
      <vt:lpstr>accelikkatsu078</vt:lpstr>
      <vt:lpstr>accelikkatsu079</vt:lpstr>
      <vt:lpstr>accelikkatsu080</vt:lpstr>
      <vt:lpstr>accelikkatsu081</vt:lpstr>
      <vt:lpstr>accelikkatsu082</vt:lpstr>
      <vt:lpstr>accelikkatsu083</vt:lpstr>
      <vt:lpstr>accelikkatsu084</vt:lpstr>
      <vt:lpstr>accelikkatsu085</vt:lpstr>
      <vt:lpstr>accelikkatsu086</vt:lpstr>
      <vt:lpstr>accelikkatsu087</vt:lpstr>
      <vt:lpstr>accelikkatsu088</vt:lpstr>
      <vt:lpstr>accelikkatsu089</vt:lpstr>
      <vt:lpstr>accelikkatsu090</vt:lpstr>
      <vt:lpstr>accelikkatsu091</vt:lpstr>
      <vt:lpstr>accelikkatsu092</vt:lpstr>
      <vt:lpstr>accelikkatsu093</vt:lpstr>
      <vt:lpstr>accelikkatsu094</vt:lpstr>
      <vt:lpstr>accelikkatsu095</vt:lpstr>
      <vt:lpstr>accelikkatsu096</vt:lpstr>
      <vt:lpstr>accelikkatsu097</vt:lpstr>
      <vt:lpstr>accelikkatsu098</vt:lpstr>
      <vt:lpstr>accelikkatsu099</vt:lpstr>
      <vt:lpstr>accelikkatsu100</vt:lpstr>
      <vt:lpstr>accelikkatsu101</vt:lpstr>
      <vt:lpstr>accelikkatsu102</vt:lpstr>
      <vt:lpstr>accelikkatsu103</vt:lpstr>
      <vt:lpstr>accelikkatsu104</vt:lpstr>
      <vt:lpstr>accelikkatsu105</vt:lpstr>
      <vt:lpstr>accelikkatsu106</vt:lpstr>
      <vt:lpstr>accelikkatsu107</vt:lpstr>
      <vt:lpstr>accelikkatsu108</vt:lpstr>
      <vt:lpstr>accelikkatsu109</vt:lpstr>
      <vt:lpstr>accelikkatsu110</vt:lpstr>
      <vt:lpstr>accelikkatsu111</vt:lpstr>
      <vt:lpstr>accelikkatsu112</vt:lpstr>
      <vt:lpstr>accelikkatsu113</vt:lpstr>
      <vt:lpstr>accelikkatsu114</vt:lpstr>
      <vt:lpstr>accelikkatsu115</vt:lpstr>
      <vt:lpstr>accelikkatsu116</vt:lpstr>
      <vt:lpstr>accelikkatsu117</vt:lpstr>
      <vt:lpstr>accelikkatsu118</vt:lpstr>
      <vt:lpstr>accelikkatsu119</vt:lpstr>
      <vt:lpstr>accelikkatsu120</vt:lpstr>
      <vt:lpstr>accelikkatsu121</vt:lpstr>
      <vt:lpstr>accelikkatsu122</vt:lpstr>
      <vt:lpstr>accelikkatsu123</vt:lpstr>
      <vt:lpstr>accelikkatsu124</vt:lpstr>
      <vt:lpstr>accelikkatsu125</vt:lpstr>
      <vt:lpstr>accelikkatsu126</vt:lpstr>
      <vt:lpstr>accelikkatsu127</vt:lpstr>
      <vt:lpstr>accelikkatsu128</vt:lpstr>
      <vt:lpstr>accelikkatsu129</vt:lpstr>
      <vt:lpstr>accelikkatsu130</vt:lpstr>
      <vt:lpstr>accelikkatsu131</vt:lpstr>
      <vt:lpstr>accelikkatsu132</vt:lpstr>
      <vt:lpstr>accelikkatsu133</vt:lpstr>
      <vt:lpstr>accelikkatsu134</vt:lpstr>
      <vt:lpstr>accelikkatsu135</vt:lpstr>
      <vt:lpstr>accelikkatsu136</vt:lpstr>
      <vt:lpstr>accelikkatsu137</vt:lpstr>
      <vt:lpstr>accelikkatsu138</vt:lpstr>
      <vt:lpstr>accelikkatsu139</vt:lpstr>
      <vt:lpstr>accelikkatsu140</vt:lpstr>
      <vt:lpstr>accelikkatsu141</vt:lpstr>
      <vt:lpstr>accelikkatsu142</vt:lpstr>
      <vt:lpstr>accelikkatsu143</vt:lpstr>
      <vt:lpstr>accelikkatsu144</vt:lpstr>
      <vt:lpstr>accelikkatsu145</vt:lpstr>
      <vt:lpstr>accelikkatsu146</vt:lpstr>
      <vt:lpstr>accelikkatsu147</vt:lpstr>
      <vt:lpstr>accelikkatsu148</vt:lpstr>
      <vt:lpstr>accelikkatsu149</vt:lpstr>
      <vt:lpstr>accelikkatsu150</vt:lpstr>
      <vt:lpstr>accelikkatsu151</vt:lpstr>
      <vt:lpstr>accelikkatsu152</vt:lpstr>
      <vt:lpstr>accelikkatsu153</vt:lpstr>
      <vt:lpstr>accelikkatsu154</vt:lpstr>
      <vt:lpstr>accelikkatsu155</vt:lpstr>
      <vt:lpstr>accelikkatsu156</vt:lpstr>
      <vt:lpstr>accelikkatsu157</vt:lpstr>
      <vt:lpstr>accelikkatsu158</vt:lpstr>
      <vt:lpstr>accelikkatsu159</vt:lpstr>
      <vt:lpstr>accelikkatsu160</vt:lpstr>
      <vt:lpstr>accelikkatsu161</vt:lpstr>
      <vt:lpstr>accelikkatsu162</vt:lpstr>
      <vt:lpstr>accelikkatsu163</vt:lpstr>
      <vt:lpstr>accelikkatsu164</vt:lpstr>
      <vt:lpstr>accelikkatsu165</vt:lpstr>
      <vt:lpstr>accelikkatsu166</vt:lpstr>
      <vt:lpstr>accelikkatsu167</vt:lpstr>
      <vt:lpstr>accelikkatsu168</vt:lpstr>
      <vt:lpstr>accelikkatsu169</vt:lpstr>
      <vt:lpstr>accelikkatsu170</vt:lpstr>
      <vt:lpstr>accelikkatsu171</vt:lpstr>
      <vt:lpstr>accelikkatsu172</vt:lpstr>
      <vt:lpstr>accelikkatsu173</vt:lpstr>
      <vt:lpstr>accelikkatsu174</vt:lpstr>
      <vt:lpstr>accelikkatsu175</vt:lpstr>
      <vt:lpstr>accelikkatsu176</vt:lpstr>
      <vt:lpstr>accelikkatsu177</vt:lpstr>
      <vt:lpstr>accelikkatsu178</vt:lpstr>
      <vt:lpstr>accelikkatsu179</vt:lpstr>
      <vt:lpstr>accelikkatsu180</vt:lpstr>
      <vt:lpstr>accelikkatsu181</vt:lpstr>
      <vt:lpstr>accelikkatsu182</vt:lpstr>
      <vt:lpstr>accelikkatsu183</vt:lpstr>
      <vt:lpstr>accelikkatsu184</vt:lpstr>
      <vt:lpstr>accelikkatsu185</vt:lpstr>
      <vt:lpstr>accelikkatsu186</vt:lpstr>
      <vt:lpstr>accelikkatsu187</vt:lpstr>
      <vt:lpstr>accelikkatsu188</vt:lpstr>
      <vt:lpstr>accelikkatsu189</vt:lpstr>
      <vt:lpstr>accelikkatsu190</vt:lpstr>
      <vt:lpstr>accelikkatsu191</vt:lpstr>
      <vt:lpstr>accelikkatsu192</vt:lpstr>
      <vt:lpstr>accelikkatsu193</vt:lpstr>
      <vt:lpstr>accelikkatsu194</vt:lpstr>
      <vt:lpstr>accelikkatsu195</vt:lpstr>
      <vt:lpstr>accelikkatsu196</vt:lpstr>
      <vt:lpstr>accelikkatsu197</vt:lpstr>
      <vt:lpstr>accelikkatsu198</vt:lpstr>
      <vt:lpstr>accelikkatsu199</vt:lpstr>
      <vt:lpstr>accelikkatsu200</vt:lpstr>
      <vt:lpstr>accelikkatsu201</vt:lpstr>
      <vt:lpstr>accelikkatsu202</vt:lpstr>
      <vt:lpstr>accelikkatsu203</vt:lpstr>
      <vt:lpstr>accelikkatsu204</vt:lpstr>
      <vt:lpstr>accelikkatsu205</vt:lpstr>
      <vt:lpstr>accelikkatsu206</vt:lpstr>
      <vt:lpstr>accelikkatsu207</vt:lpstr>
      <vt:lpstr>accelikkatsu208</vt:lpstr>
      <vt:lpstr>accelikkatsu209</vt:lpstr>
      <vt:lpstr>accelikkatsu210</vt:lpstr>
      <vt:lpstr>accelikkatsu211</vt:lpstr>
      <vt:lpstr>accelikkatsu212</vt:lpstr>
      <vt:lpstr>accelikkatsu213</vt:lpstr>
      <vt:lpstr>accelikkatsu214</vt:lpstr>
      <vt:lpstr>accelikkatsu215</vt:lpstr>
      <vt:lpstr>accelikkatsu216</vt:lpstr>
      <vt:lpstr>accelikkatsu217</vt:lpstr>
      <vt:lpstr>accelikkatsu218</vt:lpstr>
      <vt:lpstr>accelikkatsu219</vt:lpstr>
      <vt:lpstr>accelikkatsu220</vt:lpstr>
      <vt:lpstr>accelikkatsu221</vt:lpstr>
      <vt:lpstr>accelikkatsu222</vt:lpstr>
      <vt:lpstr>accelikkatsu223</vt:lpstr>
      <vt:lpstr>accelikkatsu224</vt:lpstr>
      <vt:lpstr>accelikkatsu225</vt:lpstr>
      <vt:lpstr>accelikkatsu226</vt:lpstr>
      <vt:lpstr>accelikkatsu227</vt:lpstr>
      <vt:lpstr>accelikkatsu228</vt:lpstr>
      <vt:lpstr>accelikkatsu229</vt:lpstr>
      <vt:lpstr>accelikkatsu230</vt:lpstr>
      <vt:lpstr>accelikkatsu231</vt:lpstr>
      <vt:lpstr>accelikkatsu232</vt:lpstr>
      <vt:lpstr>accelikkatsu233</vt:lpstr>
      <vt:lpstr>accelikkatsu234</vt:lpstr>
      <vt:lpstr>accelikkatsu235</vt:lpstr>
      <vt:lpstr>accelikkatsu236</vt:lpstr>
      <vt:lpstr>accelikkatsu237</vt:lpstr>
      <vt:lpstr>accelikkatsu238</vt:lpstr>
      <vt:lpstr>accelikkatsu239</vt:lpstr>
      <vt:lpstr>accelikkatsu240</vt:lpstr>
      <vt:lpstr>accelikkatsu241</vt:lpstr>
      <vt:lpstr>accelikkatsu242</vt:lpstr>
      <vt:lpstr>accelikkatsu243</vt:lpstr>
      <vt:lpstr>accelikkatsu244</vt:lpstr>
      <vt:lpstr>accelikkatsu245</vt:lpstr>
      <vt:lpstr>accelikkatsu246</vt:lpstr>
      <vt:lpstr>accelikkatsu247</vt:lpstr>
      <vt:lpstr>accelikkatsu248</vt:lpstr>
      <vt:lpstr>accelikkatsu249</vt:lpstr>
      <vt:lpstr>accelikkatsu250</vt:lpstr>
      <vt:lpstr>accelikkatsu251</vt:lpstr>
      <vt:lpstr>accelikkatsu252</vt:lpstr>
      <vt:lpstr>accelikkatsu253</vt:lpstr>
      <vt:lpstr>accelikkatsu254</vt:lpstr>
      <vt:lpstr>accelikkatsu255</vt:lpstr>
      <vt:lpstr>accelikkatsu256</vt:lpstr>
      <vt:lpstr>accelikkatsu257</vt:lpstr>
      <vt:lpstr>accelikkatsu258</vt:lpstr>
      <vt:lpstr>accelikkatsu259</vt:lpstr>
      <vt:lpstr>accelikkatsu260</vt:lpstr>
      <vt:lpstr>accelikkatsu261</vt:lpstr>
      <vt:lpstr>accelikkatsu262</vt:lpstr>
      <vt:lpstr>accelikkatsu263</vt:lpstr>
      <vt:lpstr>accelikkatsu264</vt:lpstr>
      <vt:lpstr>accelikkatsu265</vt:lpstr>
      <vt:lpstr>accelikkatsu266</vt:lpstr>
      <vt:lpstr>accelikkatsu267</vt:lpstr>
      <vt:lpstr>accelikkatsu268</vt:lpstr>
      <vt:lpstr>accelikkatsu269</vt:lpstr>
      <vt:lpstr>accelikkatsu270</vt:lpstr>
      <vt:lpstr>accelikkatsu271</vt:lpstr>
      <vt:lpstr>accelikkatsu272</vt:lpstr>
      <vt:lpstr>accelikkatsu273</vt:lpstr>
      <vt:lpstr>accelikkatsu274</vt:lpstr>
      <vt:lpstr>accelikkatsu275</vt:lpstr>
      <vt:lpstr>accelikkatsu276</vt:lpstr>
      <vt:lpstr>accelikkatsu277</vt:lpstr>
      <vt:lpstr>accelikkatsu278</vt:lpstr>
      <vt:lpstr>accelikkatsu279</vt:lpstr>
      <vt:lpstr>accelikkatsu280</vt:lpstr>
      <vt:lpstr>accelikkatsu281</vt:lpstr>
      <vt:lpstr>accelikkatsu282</vt:lpstr>
      <vt:lpstr>accelikkatsu283</vt:lpstr>
      <vt:lpstr>accelikkatsu284</vt:lpstr>
      <vt:lpstr>accelikkatsu285</vt:lpstr>
      <vt:lpstr>accelikkatsu286</vt:lpstr>
      <vt:lpstr>accelikkatsu287</vt:lpstr>
      <vt:lpstr>accelikkatsu288</vt:lpstr>
      <vt:lpstr>accelikkatsu289</vt:lpstr>
      <vt:lpstr>accelikkatsu290</vt:lpstr>
      <vt:lpstr>accelikkatsu291</vt:lpstr>
      <vt:lpstr>accelikkatsu292</vt:lpstr>
      <vt:lpstr>accelikkatsu293</vt:lpstr>
      <vt:lpstr>accelikkatsu294</vt:lpstr>
      <vt:lpstr>accelikkatsu295</vt:lpstr>
      <vt:lpstr>accelikkatsu296</vt:lpstr>
      <vt:lpstr>accelikkatsu297</vt:lpstr>
      <vt:lpstr>accelikkatsu298</vt:lpstr>
      <vt:lpstr>accelikkatsu299</vt:lpstr>
      <vt:lpstr>accelikkatsu300</vt:lpstr>
      <vt:lpstr>accelikkatsu301</vt:lpstr>
      <vt:lpstr>accelikkatsu302</vt:lpstr>
      <vt:lpstr>accelikkatsu303</vt:lpstr>
      <vt:lpstr>accelikkatsu304</vt:lpstr>
      <vt:lpstr>accelikkatsu305</vt:lpstr>
      <vt:lpstr>accelikkatsu306</vt:lpstr>
      <vt:lpstr>accelikkatsu307</vt:lpstr>
      <vt:lpstr>accelikkatsu308</vt:lpstr>
      <vt:lpstr>accelikkatsu309</vt:lpstr>
      <vt:lpstr>accelikkatsu310</vt:lpstr>
      <vt:lpstr>accelikkatsu311</vt:lpstr>
      <vt:lpstr>accelikkatsu312</vt:lpstr>
      <vt:lpstr>accelikkatsu313</vt:lpstr>
      <vt:lpstr>accelikkatsu314</vt:lpstr>
      <vt:lpstr>accelikkatsu315</vt:lpstr>
      <vt:lpstr>accelikkatsu316</vt:lpstr>
      <vt:lpstr>accelikkatsu317</vt:lpstr>
      <vt:lpstr>accelikkatsu318</vt:lpstr>
      <vt:lpstr>accelikkatsu319</vt:lpstr>
      <vt:lpstr>accelikkatsu320</vt:lpstr>
      <vt:lpstr>accelikkatsu321</vt:lpstr>
      <vt:lpstr>accelikkatsu322</vt:lpstr>
      <vt:lpstr>accelikkatsu323</vt:lpstr>
      <vt:lpstr>accelikkatsu324</vt:lpstr>
      <vt:lpstr>accelikkatsu325</vt:lpstr>
      <vt:lpstr>accelikkatsu326</vt:lpstr>
      <vt:lpstr>accelikkatsu327</vt:lpstr>
      <vt:lpstr>accelikkatsu328</vt:lpstr>
      <vt:lpstr>accelikkatsu329</vt:lpstr>
      <vt:lpstr>accelikkatsu330</vt:lpstr>
      <vt:lpstr>accelikkatsu331</vt:lpstr>
      <vt:lpstr>accelikkatsu332</vt:lpstr>
      <vt:lpstr>accelikkatsu333</vt:lpstr>
      <vt:lpstr>accelikkatsu334</vt:lpstr>
      <vt:lpstr>accelikkatsu335</vt:lpstr>
      <vt:lpstr>accelikkatsu336</vt:lpstr>
      <vt:lpstr>accelikkatsu337</vt:lpstr>
      <vt:lpstr>accelikkatsu338</vt:lpstr>
      <vt:lpstr>accelikkatsu339</vt:lpstr>
      <vt:lpstr>accelikkatsu340</vt:lpstr>
      <vt:lpstr>accelikkatsu341</vt:lpstr>
      <vt:lpstr>accelikkatsu342</vt:lpstr>
      <vt:lpstr>accelikkatsu343</vt:lpstr>
      <vt:lpstr>accelikkatsu344</vt:lpstr>
      <vt:lpstr>accelikkatsu345</vt:lpstr>
      <vt:lpstr>accelikkatsu346</vt:lpstr>
      <vt:lpstr>accelikkatsu347</vt:lpstr>
      <vt:lpstr>accelikkatsu348</vt:lpstr>
      <vt:lpstr>accelikkatsu349</vt:lpstr>
      <vt:lpstr>accelikkatsu350</vt:lpstr>
      <vt:lpstr>accelikkatsu351</vt:lpstr>
      <vt:lpstr>accelikkatsu352</vt:lpstr>
      <vt:lpstr>accelikkatsu353</vt:lpstr>
      <vt:lpstr>accelikkatsu354</vt:lpstr>
      <vt:lpstr>accelikkatsu355</vt:lpstr>
      <vt:lpstr>accelikkatsu356</vt:lpstr>
      <vt:lpstr>accelikkatsu357</vt:lpstr>
      <vt:lpstr>accelikkatsu358</vt:lpstr>
      <vt:lpstr>accelikkatsu359</vt:lpstr>
      <vt:lpstr>accelikkatsu360</vt:lpstr>
      <vt:lpstr>accelikkatsu361</vt:lpstr>
      <vt:lpstr>accelikkatsu362</vt:lpstr>
      <vt:lpstr>accelikkatsu363</vt:lpstr>
      <vt:lpstr>accelikkatsu364</vt:lpstr>
      <vt:lpstr>accelikkatsu365</vt:lpstr>
      <vt:lpstr>accelikkatsu366</vt:lpstr>
      <vt:lpstr>accelikkatsu367</vt:lpstr>
      <vt:lpstr>accelikkatsu368</vt:lpstr>
      <vt:lpstr>accelikkatsu369</vt:lpstr>
      <vt:lpstr>accelikkatsu370</vt:lpstr>
      <vt:lpstr>accelikkatsu371</vt:lpstr>
      <vt:lpstr>accelikkatsu372</vt:lpstr>
      <vt:lpstr>accelikkatsu373</vt:lpstr>
      <vt:lpstr>accelikkatsu374</vt:lpstr>
      <vt:lpstr>accelikkatsu375</vt:lpstr>
      <vt:lpstr>accelikkatsu376</vt:lpstr>
      <vt:lpstr>accelikkatsu377</vt:lpstr>
      <vt:lpstr>accelikkatsu378</vt:lpstr>
      <vt:lpstr>accelikkatsu379</vt:lpstr>
      <vt:lpstr>accelikkatsu380</vt:lpstr>
      <vt:lpstr>accelikkatsu381</vt:lpstr>
      <vt:lpstr>accelikkatsu382</vt:lpstr>
      <vt:lpstr>accelikkatsu383</vt:lpstr>
      <vt:lpstr>accelikkatsu384</vt:lpstr>
      <vt:lpstr>accelikkatsu385</vt:lpstr>
      <vt:lpstr>accelikkatsu386</vt:lpstr>
      <vt:lpstr>accelikkatsu387</vt:lpstr>
      <vt:lpstr>accelikkatsu388</vt:lpstr>
      <vt:lpstr>accelikkatsu389</vt:lpstr>
      <vt:lpstr>accelikkatsu390</vt:lpstr>
      <vt:lpstr>accelikkatsu391</vt:lpstr>
      <vt:lpstr>accelikkatsu392</vt:lpstr>
      <vt:lpstr>accelikkatsu393</vt:lpstr>
      <vt:lpstr>accelikkatsu394</vt:lpstr>
      <vt:lpstr>accelikkatsu395</vt:lpstr>
      <vt:lpstr>accelikkatsu396</vt:lpstr>
      <vt:lpstr>accelikkatsu397</vt:lpstr>
      <vt:lpstr>accelikkatsu398</vt:lpstr>
      <vt:lpstr>accelikkatsu399</vt:lpstr>
      <vt:lpstr>accelikkatsu400</vt:lpstr>
      <vt:lpstr>accelikkatsu401</vt:lpstr>
      <vt:lpstr>accelikkatsu402</vt:lpstr>
      <vt:lpstr>accelikkatsu403</vt:lpstr>
      <vt:lpstr>accelikkatsu404</vt:lpstr>
      <vt:lpstr>accelikkatsu405</vt:lpstr>
      <vt:lpstr>accelikkatsu406</vt:lpstr>
      <vt:lpstr>accelikkatsu407</vt:lpstr>
      <vt:lpstr>accelikkatsu408</vt:lpstr>
      <vt:lpstr>accelikkatsu409</vt:lpstr>
      <vt:lpstr>accelikkatsu410</vt:lpstr>
      <vt:lpstr>accelikkatsu411</vt:lpstr>
      <vt:lpstr>accelikkatsu412</vt:lpstr>
      <vt:lpstr>accelikkatsu413</vt:lpstr>
      <vt:lpstr>accelikkatsu414</vt:lpstr>
      <vt:lpstr>accelikkatsu415</vt:lpstr>
      <vt:lpstr>accelikkatsu416</vt:lpstr>
      <vt:lpstr>accelikkatsu417</vt:lpstr>
      <vt:lpstr>accelikkatsu418</vt:lpstr>
      <vt:lpstr>accelikkatsu419</vt:lpstr>
      <vt:lpstr>accelikkatsu420</vt:lpstr>
      <vt:lpstr>accelikkatsu421</vt:lpstr>
      <vt:lpstr>accelikkatsu422</vt:lpstr>
      <vt:lpstr>accelikkatsu423</vt:lpstr>
      <vt:lpstr>accelikkatsu424</vt:lpstr>
      <vt:lpstr>accelikkatsu425</vt:lpstr>
      <vt:lpstr>accelikkatsu426</vt:lpstr>
      <vt:lpstr>accelikkatsu427</vt:lpstr>
      <vt:lpstr>accelikkatsu428</vt:lpstr>
      <vt:lpstr>accelikkatsu429</vt:lpstr>
      <vt:lpstr>accelikkatsu430</vt:lpstr>
      <vt:lpstr>accelikkatsu431</vt:lpstr>
      <vt:lpstr>accelikkatsu432</vt:lpstr>
      <vt:lpstr>accelikkatsu433</vt:lpstr>
      <vt:lpstr>accelikkatsu434</vt:lpstr>
      <vt:lpstr>accelikkatsu435</vt:lpstr>
      <vt:lpstr>accelikkatsu436</vt:lpstr>
      <vt:lpstr>accelikkatsu437</vt:lpstr>
      <vt:lpstr>accelikkatsu438</vt:lpstr>
      <vt:lpstr>accelikkatsu439</vt:lpstr>
      <vt:lpstr>accelikkatsu440</vt:lpstr>
      <vt:lpstr>accelikkatsu441</vt:lpstr>
      <vt:lpstr>accelikkatsu442</vt:lpstr>
      <vt:lpstr>accelikkatsu443</vt:lpstr>
      <vt:lpstr>accelikkatsu444</vt:lpstr>
      <vt:lpstr>accelikkatsu445</vt:lpstr>
      <vt:lpstr>accelikkatsu446</vt:lpstr>
      <vt:lpstr>accelikkatsu447</vt:lpstr>
      <vt:lpstr>accelikkatsu448</vt:lpstr>
      <vt:lpstr>accelikkatsu449</vt:lpstr>
      <vt:lpstr>accelikkatsu450</vt:lpstr>
      <vt:lpstr>accelikkatsu451</vt:lpstr>
      <vt:lpstr>accelikkatsu452</vt:lpstr>
      <vt:lpstr>accelikkatsu453</vt:lpstr>
      <vt:lpstr>accelikkatsu454</vt:lpstr>
      <vt:lpstr>accelikkatsu455</vt:lpstr>
      <vt:lpstr>accelikkatsu456</vt:lpstr>
      <vt:lpstr>accelikkatsu457</vt:lpstr>
      <vt:lpstr>accelikkatsu458</vt:lpstr>
      <vt:lpstr>accelikkatsu459</vt:lpstr>
      <vt:lpstr>accelikkatsu460</vt:lpstr>
      <vt:lpstr>accelikkatsu461</vt:lpstr>
      <vt:lpstr>accelikkatsu462</vt:lpstr>
      <vt:lpstr>accelikkatsu463</vt:lpstr>
      <vt:lpstr>accelikkatsu464</vt:lpstr>
      <vt:lpstr>accelikkatsu465</vt:lpstr>
      <vt:lpstr>accelikkatsu466</vt:lpstr>
      <vt:lpstr>accelikkatsu467</vt:lpstr>
      <vt:lpstr>accelikkatsu468</vt:lpstr>
      <vt:lpstr>accelikkatsu469</vt:lpstr>
      <vt:lpstr>accelikkatsu470</vt:lpstr>
      <vt:lpstr>accelikkatsu471</vt:lpstr>
      <vt:lpstr>accelikkatsu472</vt:lpstr>
      <vt:lpstr>accelikkatsu473</vt:lpstr>
      <vt:lpstr>accelikkatsu474</vt:lpstr>
      <vt:lpstr>accelikkatsu475</vt:lpstr>
      <vt:lpstr>accelikkatsu476</vt:lpstr>
      <vt:lpstr>accelikkatsu477</vt:lpstr>
      <vt:lpstr>accelikkatsu478</vt:lpstr>
      <vt:lpstr>accelikkatsu479</vt:lpstr>
      <vt:lpstr>accelikkatsu480</vt:lpstr>
      <vt:lpstr>accelikkatsu481</vt:lpstr>
      <vt:lpstr>accelikkatsu482</vt:lpstr>
      <vt:lpstr>accelikkatsu483</vt:lpstr>
      <vt:lpstr>accelikkatsu484</vt:lpstr>
      <vt:lpstr>accelikkatsu485</vt:lpstr>
      <vt:lpstr>accelikkatsu486</vt:lpstr>
      <vt:lpstr>accelikkatsu487</vt:lpstr>
      <vt:lpstr>accelikkatsu488</vt:lpstr>
      <vt:lpstr>accelikkatsu489</vt:lpstr>
      <vt:lpstr>accelikkatsu490</vt:lpstr>
      <vt:lpstr>accelikkatsu491</vt:lpstr>
      <vt:lpstr>accelikkatsu492</vt:lpstr>
      <vt:lpstr>accelikkatsu493</vt:lpstr>
      <vt:lpstr>accelikkatsu494</vt:lpstr>
      <vt:lpstr>accelikkatsu495</vt:lpstr>
      <vt:lpstr>accelikkatsu496</vt:lpstr>
      <vt:lpstr>accelikkatsu497</vt:lpstr>
      <vt:lpstr>accelikkatsu498</vt:lpstr>
      <vt:lpstr>accelikkatsu499</vt:lpstr>
      <vt:lpstr>accelikkatsu500</vt:lpstr>
      <vt:lpstr>applicationArrivalDate</vt:lpstr>
      <vt:lpstr>belugabun001</vt:lpstr>
      <vt:lpstr>belugabun002</vt:lpstr>
      <vt:lpstr>belugabun003</vt:lpstr>
      <vt:lpstr>belugabun004</vt:lpstr>
      <vt:lpstr>belugabun005</vt:lpstr>
      <vt:lpstr>belugabun006</vt:lpstr>
      <vt:lpstr>belugabun007</vt:lpstr>
      <vt:lpstr>belugabun008</vt:lpstr>
      <vt:lpstr>belugabun009</vt:lpstr>
      <vt:lpstr>belugabun010</vt:lpstr>
      <vt:lpstr>belugabun011</vt:lpstr>
      <vt:lpstr>belugabun012</vt:lpstr>
      <vt:lpstr>belugabun013</vt:lpstr>
      <vt:lpstr>belugabun014</vt:lpstr>
      <vt:lpstr>belugabun015</vt:lpstr>
      <vt:lpstr>belugabun016</vt:lpstr>
      <vt:lpstr>belugabun017</vt:lpstr>
      <vt:lpstr>belugabun018</vt:lpstr>
      <vt:lpstr>belugabun019</vt:lpstr>
      <vt:lpstr>belugabun020</vt:lpstr>
      <vt:lpstr>belugabun021</vt:lpstr>
      <vt:lpstr>belugabun022</vt:lpstr>
      <vt:lpstr>belugabun023</vt:lpstr>
      <vt:lpstr>belugabun024</vt:lpstr>
      <vt:lpstr>belugabun025</vt:lpstr>
      <vt:lpstr>belugabun026</vt:lpstr>
      <vt:lpstr>belugabun027</vt:lpstr>
      <vt:lpstr>belugabun028</vt:lpstr>
      <vt:lpstr>belugabun029</vt:lpstr>
      <vt:lpstr>belugabun030</vt:lpstr>
      <vt:lpstr>belugabun031</vt:lpstr>
      <vt:lpstr>belugabun032</vt:lpstr>
      <vt:lpstr>belugabun033</vt:lpstr>
      <vt:lpstr>belugabun034</vt:lpstr>
      <vt:lpstr>belugabun035</vt:lpstr>
      <vt:lpstr>belugabun036</vt:lpstr>
      <vt:lpstr>belugabun037</vt:lpstr>
      <vt:lpstr>belugabun038</vt:lpstr>
      <vt:lpstr>belugabun039</vt:lpstr>
      <vt:lpstr>belugabun040</vt:lpstr>
      <vt:lpstr>belugabun041</vt:lpstr>
      <vt:lpstr>belugabun042</vt:lpstr>
      <vt:lpstr>belugabun043</vt:lpstr>
      <vt:lpstr>belugabun044</vt:lpstr>
      <vt:lpstr>belugabun045</vt:lpstr>
      <vt:lpstr>belugabun046</vt:lpstr>
      <vt:lpstr>belugabun047</vt:lpstr>
      <vt:lpstr>belugabun048</vt:lpstr>
      <vt:lpstr>belugabun049</vt:lpstr>
      <vt:lpstr>belugabun050</vt:lpstr>
      <vt:lpstr>belugabun051</vt:lpstr>
      <vt:lpstr>belugabun052</vt:lpstr>
      <vt:lpstr>belugabun053</vt:lpstr>
      <vt:lpstr>belugabun054</vt:lpstr>
      <vt:lpstr>belugabun055</vt:lpstr>
      <vt:lpstr>belugabun056</vt:lpstr>
      <vt:lpstr>belugabun057</vt:lpstr>
      <vt:lpstr>belugabun058</vt:lpstr>
      <vt:lpstr>belugabun059</vt:lpstr>
      <vt:lpstr>belugabun060</vt:lpstr>
      <vt:lpstr>belugabun061</vt:lpstr>
      <vt:lpstr>belugabun062</vt:lpstr>
      <vt:lpstr>belugabun063</vt:lpstr>
      <vt:lpstr>belugabun064</vt:lpstr>
      <vt:lpstr>belugabun065</vt:lpstr>
      <vt:lpstr>belugabun066</vt:lpstr>
      <vt:lpstr>belugabun067</vt:lpstr>
      <vt:lpstr>belugabun068</vt:lpstr>
      <vt:lpstr>belugabun069</vt:lpstr>
      <vt:lpstr>belugabun070</vt:lpstr>
      <vt:lpstr>belugabun071</vt:lpstr>
      <vt:lpstr>belugabun072</vt:lpstr>
      <vt:lpstr>belugabun073</vt:lpstr>
      <vt:lpstr>belugabun074</vt:lpstr>
      <vt:lpstr>belugabun075</vt:lpstr>
      <vt:lpstr>belugabun076</vt:lpstr>
      <vt:lpstr>belugabun077</vt:lpstr>
      <vt:lpstr>belugabun078</vt:lpstr>
      <vt:lpstr>belugabun079</vt:lpstr>
      <vt:lpstr>belugabun080</vt:lpstr>
      <vt:lpstr>belugabun081</vt:lpstr>
      <vt:lpstr>belugabun082</vt:lpstr>
      <vt:lpstr>belugabun083</vt:lpstr>
      <vt:lpstr>belugabun084</vt:lpstr>
      <vt:lpstr>belugabun085</vt:lpstr>
      <vt:lpstr>belugabun086</vt:lpstr>
      <vt:lpstr>belugabun087</vt:lpstr>
      <vt:lpstr>belugabun088</vt:lpstr>
      <vt:lpstr>belugabun089</vt:lpstr>
      <vt:lpstr>belugabun090</vt:lpstr>
      <vt:lpstr>belugabun091</vt:lpstr>
      <vt:lpstr>belugabun092</vt:lpstr>
      <vt:lpstr>belugabun093</vt:lpstr>
      <vt:lpstr>belugabun094</vt:lpstr>
      <vt:lpstr>belugabun095</vt:lpstr>
      <vt:lpstr>belugabun096</vt:lpstr>
      <vt:lpstr>belugabun097</vt:lpstr>
      <vt:lpstr>belugabun098</vt:lpstr>
      <vt:lpstr>belugabun099</vt:lpstr>
      <vt:lpstr>belugabun100</vt:lpstr>
      <vt:lpstr>belugabun101</vt:lpstr>
      <vt:lpstr>belugabun102</vt:lpstr>
      <vt:lpstr>belugabun103</vt:lpstr>
      <vt:lpstr>belugabun104</vt:lpstr>
      <vt:lpstr>belugabun105</vt:lpstr>
      <vt:lpstr>belugabun106</vt:lpstr>
      <vt:lpstr>belugabun107</vt:lpstr>
      <vt:lpstr>belugabun108</vt:lpstr>
      <vt:lpstr>belugabun109</vt:lpstr>
      <vt:lpstr>belugabun110</vt:lpstr>
      <vt:lpstr>belugabun111</vt:lpstr>
      <vt:lpstr>belugabun112</vt:lpstr>
      <vt:lpstr>belugabun113</vt:lpstr>
      <vt:lpstr>belugabun114</vt:lpstr>
      <vt:lpstr>belugabun115</vt:lpstr>
      <vt:lpstr>belugabun116</vt:lpstr>
      <vt:lpstr>belugabun117</vt:lpstr>
      <vt:lpstr>belugabun118</vt:lpstr>
      <vt:lpstr>belugabun119</vt:lpstr>
      <vt:lpstr>belugabun120</vt:lpstr>
      <vt:lpstr>belugabun121</vt:lpstr>
      <vt:lpstr>belugabun122</vt:lpstr>
      <vt:lpstr>belugabun123</vt:lpstr>
      <vt:lpstr>belugabun124</vt:lpstr>
      <vt:lpstr>belugabun125</vt:lpstr>
      <vt:lpstr>belugabun126</vt:lpstr>
      <vt:lpstr>belugabun127</vt:lpstr>
      <vt:lpstr>belugabun128</vt:lpstr>
      <vt:lpstr>belugabun129</vt:lpstr>
      <vt:lpstr>belugabun130</vt:lpstr>
      <vt:lpstr>belugabun131</vt:lpstr>
      <vt:lpstr>belugabun132</vt:lpstr>
      <vt:lpstr>belugabun133</vt:lpstr>
      <vt:lpstr>belugabun134</vt:lpstr>
      <vt:lpstr>belugabun135</vt:lpstr>
      <vt:lpstr>belugabun136</vt:lpstr>
      <vt:lpstr>belugabun137</vt:lpstr>
      <vt:lpstr>belugabun138</vt:lpstr>
      <vt:lpstr>belugabun139</vt:lpstr>
      <vt:lpstr>belugabun140</vt:lpstr>
      <vt:lpstr>belugabun141</vt:lpstr>
      <vt:lpstr>belugabun142</vt:lpstr>
      <vt:lpstr>belugabun143</vt:lpstr>
      <vt:lpstr>belugabun144</vt:lpstr>
      <vt:lpstr>belugabun145</vt:lpstr>
      <vt:lpstr>belugabun146</vt:lpstr>
      <vt:lpstr>belugabun147</vt:lpstr>
      <vt:lpstr>belugabun148</vt:lpstr>
      <vt:lpstr>belugabun149</vt:lpstr>
      <vt:lpstr>belugabun150</vt:lpstr>
      <vt:lpstr>belugabun151</vt:lpstr>
      <vt:lpstr>belugabun152</vt:lpstr>
      <vt:lpstr>belugabun153</vt:lpstr>
      <vt:lpstr>belugabun154</vt:lpstr>
      <vt:lpstr>belugabun155</vt:lpstr>
      <vt:lpstr>belugabun156</vt:lpstr>
      <vt:lpstr>belugabun157</vt:lpstr>
      <vt:lpstr>belugabun158</vt:lpstr>
      <vt:lpstr>belugabun159</vt:lpstr>
      <vt:lpstr>belugabun160</vt:lpstr>
      <vt:lpstr>belugabun161</vt:lpstr>
      <vt:lpstr>belugabun162</vt:lpstr>
      <vt:lpstr>belugabun163</vt:lpstr>
      <vt:lpstr>belugabun164</vt:lpstr>
      <vt:lpstr>belugabun165</vt:lpstr>
      <vt:lpstr>belugabun166</vt:lpstr>
      <vt:lpstr>belugabun167</vt:lpstr>
      <vt:lpstr>belugabun168</vt:lpstr>
      <vt:lpstr>belugabun169</vt:lpstr>
      <vt:lpstr>belugabun170</vt:lpstr>
      <vt:lpstr>belugabun171</vt:lpstr>
      <vt:lpstr>belugabun172</vt:lpstr>
      <vt:lpstr>belugabun173</vt:lpstr>
      <vt:lpstr>belugabun174</vt:lpstr>
      <vt:lpstr>belugabun175</vt:lpstr>
      <vt:lpstr>belugabun176</vt:lpstr>
      <vt:lpstr>belugabun177</vt:lpstr>
      <vt:lpstr>belugabun178</vt:lpstr>
      <vt:lpstr>belugabun179</vt:lpstr>
      <vt:lpstr>belugabun180</vt:lpstr>
      <vt:lpstr>belugabun181</vt:lpstr>
      <vt:lpstr>belugabun182</vt:lpstr>
      <vt:lpstr>belugabun183</vt:lpstr>
      <vt:lpstr>belugabun184</vt:lpstr>
      <vt:lpstr>belugabun185</vt:lpstr>
      <vt:lpstr>belugabun186</vt:lpstr>
      <vt:lpstr>belugabun187</vt:lpstr>
      <vt:lpstr>belugabun188</vt:lpstr>
      <vt:lpstr>belugabun189</vt:lpstr>
      <vt:lpstr>belugabun190</vt:lpstr>
      <vt:lpstr>belugabun191</vt:lpstr>
      <vt:lpstr>belugabun192</vt:lpstr>
      <vt:lpstr>belugabun193</vt:lpstr>
      <vt:lpstr>belugabun194</vt:lpstr>
      <vt:lpstr>belugabun195</vt:lpstr>
      <vt:lpstr>belugabun196</vt:lpstr>
      <vt:lpstr>belugabun197</vt:lpstr>
      <vt:lpstr>belugabun198</vt:lpstr>
      <vt:lpstr>belugabun199</vt:lpstr>
      <vt:lpstr>belugabun200</vt:lpstr>
      <vt:lpstr>belugabun201</vt:lpstr>
      <vt:lpstr>belugabun202</vt:lpstr>
      <vt:lpstr>belugabun203</vt:lpstr>
      <vt:lpstr>belugabun204</vt:lpstr>
      <vt:lpstr>belugabun205</vt:lpstr>
      <vt:lpstr>belugabun206</vt:lpstr>
      <vt:lpstr>belugabun207</vt:lpstr>
      <vt:lpstr>belugabun208</vt:lpstr>
      <vt:lpstr>belugabun209</vt:lpstr>
      <vt:lpstr>belugabun210</vt:lpstr>
      <vt:lpstr>belugabun211</vt:lpstr>
      <vt:lpstr>belugabun212</vt:lpstr>
      <vt:lpstr>belugabun213</vt:lpstr>
      <vt:lpstr>belugabun214</vt:lpstr>
      <vt:lpstr>belugabun215</vt:lpstr>
      <vt:lpstr>belugabun216</vt:lpstr>
      <vt:lpstr>belugabun217</vt:lpstr>
      <vt:lpstr>belugabun218</vt:lpstr>
      <vt:lpstr>belugabun219</vt:lpstr>
      <vt:lpstr>belugabun220</vt:lpstr>
      <vt:lpstr>belugabun221</vt:lpstr>
      <vt:lpstr>belugabun222</vt:lpstr>
      <vt:lpstr>belugabun223</vt:lpstr>
      <vt:lpstr>belugabun224</vt:lpstr>
      <vt:lpstr>belugabun225</vt:lpstr>
      <vt:lpstr>belugabun226</vt:lpstr>
      <vt:lpstr>belugabun227</vt:lpstr>
      <vt:lpstr>belugabun228</vt:lpstr>
      <vt:lpstr>belugabun229</vt:lpstr>
      <vt:lpstr>belugabun230</vt:lpstr>
      <vt:lpstr>belugabun231</vt:lpstr>
      <vt:lpstr>belugabun232</vt:lpstr>
      <vt:lpstr>belugabun233</vt:lpstr>
      <vt:lpstr>belugabun234</vt:lpstr>
      <vt:lpstr>belugabun235</vt:lpstr>
      <vt:lpstr>belugabun236</vt:lpstr>
      <vt:lpstr>belugabun237</vt:lpstr>
      <vt:lpstr>belugabun238</vt:lpstr>
      <vt:lpstr>belugabun239</vt:lpstr>
      <vt:lpstr>belugabun240</vt:lpstr>
      <vt:lpstr>belugabun241</vt:lpstr>
      <vt:lpstr>belugabun242</vt:lpstr>
      <vt:lpstr>belugabun243</vt:lpstr>
      <vt:lpstr>belugabun244</vt:lpstr>
      <vt:lpstr>belugabun245</vt:lpstr>
      <vt:lpstr>belugabun246</vt:lpstr>
      <vt:lpstr>belugabun247</vt:lpstr>
      <vt:lpstr>belugabun248</vt:lpstr>
      <vt:lpstr>belugabun249</vt:lpstr>
      <vt:lpstr>belugabun250</vt:lpstr>
      <vt:lpstr>belugabun251</vt:lpstr>
      <vt:lpstr>belugabun252</vt:lpstr>
      <vt:lpstr>belugabun253</vt:lpstr>
      <vt:lpstr>belugabun254</vt:lpstr>
      <vt:lpstr>belugabun255</vt:lpstr>
      <vt:lpstr>belugabun256</vt:lpstr>
      <vt:lpstr>belugabun257</vt:lpstr>
      <vt:lpstr>belugabun258</vt:lpstr>
      <vt:lpstr>belugabun259</vt:lpstr>
      <vt:lpstr>belugabun260</vt:lpstr>
      <vt:lpstr>belugabun261</vt:lpstr>
      <vt:lpstr>belugabun262</vt:lpstr>
      <vt:lpstr>belugabun263</vt:lpstr>
      <vt:lpstr>belugabun264</vt:lpstr>
      <vt:lpstr>belugabun265</vt:lpstr>
      <vt:lpstr>belugabun266</vt:lpstr>
      <vt:lpstr>belugabun267</vt:lpstr>
      <vt:lpstr>belugabun268</vt:lpstr>
      <vt:lpstr>belugabun269</vt:lpstr>
      <vt:lpstr>belugabun270</vt:lpstr>
      <vt:lpstr>belugabun271</vt:lpstr>
      <vt:lpstr>belugabun272</vt:lpstr>
      <vt:lpstr>belugabun273</vt:lpstr>
      <vt:lpstr>belugabun274</vt:lpstr>
      <vt:lpstr>belugabun275</vt:lpstr>
      <vt:lpstr>belugabun276</vt:lpstr>
      <vt:lpstr>belugabun277</vt:lpstr>
      <vt:lpstr>belugabun278</vt:lpstr>
      <vt:lpstr>belugabun279</vt:lpstr>
      <vt:lpstr>belugabun280</vt:lpstr>
      <vt:lpstr>belugabun281</vt:lpstr>
      <vt:lpstr>belugabun282</vt:lpstr>
      <vt:lpstr>belugabun283</vt:lpstr>
      <vt:lpstr>belugabun284</vt:lpstr>
      <vt:lpstr>belugabun285</vt:lpstr>
      <vt:lpstr>belugabun286</vt:lpstr>
      <vt:lpstr>belugabun287</vt:lpstr>
      <vt:lpstr>belugabun288</vt:lpstr>
      <vt:lpstr>belugabun289</vt:lpstr>
      <vt:lpstr>belugabun290</vt:lpstr>
      <vt:lpstr>belugabun291</vt:lpstr>
      <vt:lpstr>belugabun292</vt:lpstr>
      <vt:lpstr>belugabun293</vt:lpstr>
      <vt:lpstr>belugabun294</vt:lpstr>
      <vt:lpstr>belugabun295</vt:lpstr>
      <vt:lpstr>belugabun296</vt:lpstr>
      <vt:lpstr>belugabun297</vt:lpstr>
      <vt:lpstr>belugabun298</vt:lpstr>
      <vt:lpstr>belugabun299</vt:lpstr>
      <vt:lpstr>belugabun300</vt:lpstr>
      <vt:lpstr>belugabun301</vt:lpstr>
      <vt:lpstr>belugabun302</vt:lpstr>
      <vt:lpstr>belugabun303</vt:lpstr>
      <vt:lpstr>belugabun304</vt:lpstr>
      <vt:lpstr>belugabun305</vt:lpstr>
      <vt:lpstr>belugabun306</vt:lpstr>
      <vt:lpstr>belugabun307</vt:lpstr>
      <vt:lpstr>belugabun308</vt:lpstr>
      <vt:lpstr>belugabun309</vt:lpstr>
      <vt:lpstr>belugabun310</vt:lpstr>
      <vt:lpstr>belugabun311</vt:lpstr>
      <vt:lpstr>belugabun312</vt:lpstr>
      <vt:lpstr>belugabun313</vt:lpstr>
      <vt:lpstr>belugabun314</vt:lpstr>
      <vt:lpstr>belugabun315</vt:lpstr>
      <vt:lpstr>belugabun316</vt:lpstr>
      <vt:lpstr>belugabun317</vt:lpstr>
      <vt:lpstr>belugabun318</vt:lpstr>
      <vt:lpstr>belugabun319</vt:lpstr>
      <vt:lpstr>belugabun320</vt:lpstr>
      <vt:lpstr>belugabun321</vt:lpstr>
      <vt:lpstr>belugabun322</vt:lpstr>
      <vt:lpstr>belugabun323</vt:lpstr>
      <vt:lpstr>belugabun324</vt:lpstr>
      <vt:lpstr>belugabun325</vt:lpstr>
      <vt:lpstr>belugabun326</vt:lpstr>
      <vt:lpstr>belugabun327</vt:lpstr>
      <vt:lpstr>belugabun328</vt:lpstr>
      <vt:lpstr>belugabun329</vt:lpstr>
      <vt:lpstr>belugabun330</vt:lpstr>
      <vt:lpstr>belugabun331</vt:lpstr>
      <vt:lpstr>belugabun332</vt:lpstr>
      <vt:lpstr>belugabun333</vt:lpstr>
      <vt:lpstr>belugabun334</vt:lpstr>
      <vt:lpstr>belugabun335</vt:lpstr>
      <vt:lpstr>belugabun336</vt:lpstr>
      <vt:lpstr>belugabun337</vt:lpstr>
      <vt:lpstr>belugabun338</vt:lpstr>
      <vt:lpstr>belugabun339</vt:lpstr>
      <vt:lpstr>belugabun340</vt:lpstr>
      <vt:lpstr>belugabun341</vt:lpstr>
      <vt:lpstr>belugabun342</vt:lpstr>
      <vt:lpstr>belugabun343</vt:lpstr>
      <vt:lpstr>belugabun344</vt:lpstr>
      <vt:lpstr>belugabun345</vt:lpstr>
      <vt:lpstr>belugabun346</vt:lpstr>
      <vt:lpstr>belugabun347</vt:lpstr>
      <vt:lpstr>belugabun348</vt:lpstr>
      <vt:lpstr>belugabun349</vt:lpstr>
      <vt:lpstr>belugabun350</vt:lpstr>
      <vt:lpstr>belugabun351</vt:lpstr>
      <vt:lpstr>belugabun352</vt:lpstr>
      <vt:lpstr>belugabun353</vt:lpstr>
      <vt:lpstr>belugabun354</vt:lpstr>
      <vt:lpstr>belugabun355</vt:lpstr>
      <vt:lpstr>belugabun356</vt:lpstr>
      <vt:lpstr>belugabun357</vt:lpstr>
      <vt:lpstr>belugabun358</vt:lpstr>
      <vt:lpstr>belugabun359</vt:lpstr>
      <vt:lpstr>belugabun360</vt:lpstr>
      <vt:lpstr>belugabun361</vt:lpstr>
      <vt:lpstr>belugabun362</vt:lpstr>
      <vt:lpstr>belugabun363</vt:lpstr>
      <vt:lpstr>belugabun364</vt:lpstr>
      <vt:lpstr>belugabun365</vt:lpstr>
      <vt:lpstr>belugabun366</vt:lpstr>
      <vt:lpstr>belugabun367</vt:lpstr>
      <vt:lpstr>belugabun368</vt:lpstr>
      <vt:lpstr>belugabun369</vt:lpstr>
      <vt:lpstr>belugabun370</vt:lpstr>
      <vt:lpstr>belugabun371</vt:lpstr>
      <vt:lpstr>belugabun372</vt:lpstr>
      <vt:lpstr>belugabun373</vt:lpstr>
      <vt:lpstr>belugabun374</vt:lpstr>
      <vt:lpstr>belugabun375</vt:lpstr>
      <vt:lpstr>belugabun376</vt:lpstr>
      <vt:lpstr>belugabun377</vt:lpstr>
      <vt:lpstr>belugabun378</vt:lpstr>
      <vt:lpstr>belugabun379</vt:lpstr>
      <vt:lpstr>belugabun380</vt:lpstr>
      <vt:lpstr>belugabun381</vt:lpstr>
      <vt:lpstr>belugabun382</vt:lpstr>
      <vt:lpstr>belugabun383</vt:lpstr>
      <vt:lpstr>belugabun384</vt:lpstr>
      <vt:lpstr>belugabun385</vt:lpstr>
      <vt:lpstr>belugabun386</vt:lpstr>
      <vt:lpstr>belugabun387</vt:lpstr>
      <vt:lpstr>belugabun388</vt:lpstr>
      <vt:lpstr>belugabun389</vt:lpstr>
      <vt:lpstr>belugabun390</vt:lpstr>
      <vt:lpstr>belugabun391</vt:lpstr>
      <vt:lpstr>belugabun392</vt:lpstr>
      <vt:lpstr>belugabun393</vt:lpstr>
      <vt:lpstr>belugabun394</vt:lpstr>
      <vt:lpstr>belugabun395</vt:lpstr>
      <vt:lpstr>belugabun396</vt:lpstr>
      <vt:lpstr>belugabun397</vt:lpstr>
      <vt:lpstr>belugabun398</vt:lpstr>
      <vt:lpstr>belugabun399</vt:lpstr>
      <vt:lpstr>belugabun400</vt:lpstr>
      <vt:lpstr>belugabun401</vt:lpstr>
      <vt:lpstr>belugabun402</vt:lpstr>
      <vt:lpstr>belugabun403</vt:lpstr>
      <vt:lpstr>belugabun404</vt:lpstr>
      <vt:lpstr>belugabun405</vt:lpstr>
      <vt:lpstr>belugabun406</vt:lpstr>
      <vt:lpstr>belugabun407</vt:lpstr>
      <vt:lpstr>belugabun408</vt:lpstr>
      <vt:lpstr>belugabun409</vt:lpstr>
      <vt:lpstr>belugabun410</vt:lpstr>
      <vt:lpstr>belugabun411</vt:lpstr>
      <vt:lpstr>belugabun412</vt:lpstr>
      <vt:lpstr>belugabun413</vt:lpstr>
      <vt:lpstr>belugabun414</vt:lpstr>
      <vt:lpstr>belugabun415</vt:lpstr>
      <vt:lpstr>belugabun416</vt:lpstr>
      <vt:lpstr>belugabun417</vt:lpstr>
      <vt:lpstr>belugabun418</vt:lpstr>
      <vt:lpstr>belugabun419</vt:lpstr>
      <vt:lpstr>belugabun420</vt:lpstr>
      <vt:lpstr>belugabun421</vt:lpstr>
      <vt:lpstr>belugabun422</vt:lpstr>
      <vt:lpstr>belugabun423</vt:lpstr>
      <vt:lpstr>belugabun424</vt:lpstr>
      <vt:lpstr>belugabun425</vt:lpstr>
      <vt:lpstr>belugabun426</vt:lpstr>
      <vt:lpstr>belugabun427</vt:lpstr>
      <vt:lpstr>belugabun428</vt:lpstr>
      <vt:lpstr>belugabun429</vt:lpstr>
      <vt:lpstr>belugabun430</vt:lpstr>
      <vt:lpstr>belugabun431</vt:lpstr>
      <vt:lpstr>belugabun432</vt:lpstr>
      <vt:lpstr>belugabun433</vt:lpstr>
      <vt:lpstr>belugabun434</vt:lpstr>
      <vt:lpstr>belugabun435</vt:lpstr>
      <vt:lpstr>belugabun436</vt:lpstr>
      <vt:lpstr>belugabun437</vt:lpstr>
      <vt:lpstr>belugabun438</vt:lpstr>
      <vt:lpstr>belugabun439</vt:lpstr>
      <vt:lpstr>belugabun440</vt:lpstr>
      <vt:lpstr>belugabun441</vt:lpstr>
      <vt:lpstr>belugabun442</vt:lpstr>
      <vt:lpstr>belugabun443</vt:lpstr>
      <vt:lpstr>belugabun444</vt:lpstr>
      <vt:lpstr>belugabun445</vt:lpstr>
      <vt:lpstr>belugabun446</vt:lpstr>
      <vt:lpstr>belugabun447</vt:lpstr>
      <vt:lpstr>belugabun448</vt:lpstr>
      <vt:lpstr>belugabun449</vt:lpstr>
      <vt:lpstr>belugabun450</vt:lpstr>
      <vt:lpstr>belugabun451</vt:lpstr>
      <vt:lpstr>belugabun452</vt:lpstr>
      <vt:lpstr>belugabun453</vt:lpstr>
      <vt:lpstr>belugabun454</vt:lpstr>
      <vt:lpstr>belugabun455</vt:lpstr>
      <vt:lpstr>belugabun456</vt:lpstr>
      <vt:lpstr>belugabun457</vt:lpstr>
      <vt:lpstr>belugabun458</vt:lpstr>
      <vt:lpstr>belugabun459</vt:lpstr>
      <vt:lpstr>belugabun460</vt:lpstr>
      <vt:lpstr>belugabun461</vt:lpstr>
      <vt:lpstr>belugabun462</vt:lpstr>
      <vt:lpstr>belugabun463</vt:lpstr>
      <vt:lpstr>belugabun464</vt:lpstr>
      <vt:lpstr>belugabun465</vt:lpstr>
      <vt:lpstr>belugabun466</vt:lpstr>
      <vt:lpstr>belugabun467</vt:lpstr>
      <vt:lpstr>belugabun468</vt:lpstr>
      <vt:lpstr>belugabun469</vt:lpstr>
      <vt:lpstr>belugabun470</vt:lpstr>
      <vt:lpstr>belugabun471</vt:lpstr>
      <vt:lpstr>belugabun472</vt:lpstr>
      <vt:lpstr>belugabun473</vt:lpstr>
      <vt:lpstr>belugabun474</vt:lpstr>
      <vt:lpstr>belugabun475</vt:lpstr>
      <vt:lpstr>belugabun476</vt:lpstr>
      <vt:lpstr>belugabun477</vt:lpstr>
      <vt:lpstr>belugabun478</vt:lpstr>
      <vt:lpstr>belugabun479</vt:lpstr>
      <vt:lpstr>belugabun480</vt:lpstr>
      <vt:lpstr>belugabun481</vt:lpstr>
      <vt:lpstr>belugabun482</vt:lpstr>
      <vt:lpstr>belugabun483</vt:lpstr>
      <vt:lpstr>belugabun484</vt:lpstr>
      <vt:lpstr>belugabun485</vt:lpstr>
      <vt:lpstr>belugabun486</vt:lpstr>
      <vt:lpstr>belugabun487</vt:lpstr>
      <vt:lpstr>belugabun488</vt:lpstr>
      <vt:lpstr>belugabun489</vt:lpstr>
      <vt:lpstr>belugabun490</vt:lpstr>
      <vt:lpstr>belugabun491</vt:lpstr>
      <vt:lpstr>belugabun492</vt:lpstr>
      <vt:lpstr>belugabun493</vt:lpstr>
      <vt:lpstr>belugabun494</vt:lpstr>
      <vt:lpstr>belugabun495</vt:lpstr>
      <vt:lpstr>belugabun496</vt:lpstr>
      <vt:lpstr>belugabun497</vt:lpstr>
      <vt:lpstr>belugabun498</vt:lpstr>
      <vt:lpstr>belugabun499</vt:lpstr>
      <vt:lpstr>belugabun500</vt:lpstr>
      <vt:lpstr>belugabunyn001</vt:lpstr>
      <vt:lpstr>belugabunyn002</vt:lpstr>
      <vt:lpstr>belugabunyn003</vt:lpstr>
      <vt:lpstr>belugabunyn004</vt:lpstr>
      <vt:lpstr>belugabunyn005</vt:lpstr>
      <vt:lpstr>belugabunyn006</vt:lpstr>
      <vt:lpstr>belugabunyn007</vt:lpstr>
      <vt:lpstr>belugabunyn008</vt:lpstr>
      <vt:lpstr>belugabunyn009</vt:lpstr>
      <vt:lpstr>belugabunyn010</vt:lpstr>
      <vt:lpstr>belugabunyn011</vt:lpstr>
      <vt:lpstr>belugabunyn012</vt:lpstr>
      <vt:lpstr>belugabunyn013</vt:lpstr>
      <vt:lpstr>belugabunyn014</vt:lpstr>
      <vt:lpstr>belugabunyn015</vt:lpstr>
      <vt:lpstr>belugabunyn016</vt:lpstr>
      <vt:lpstr>belugabunyn017</vt:lpstr>
      <vt:lpstr>belugabunyn018</vt:lpstr>
      <vt:lpstr>belugabunyn019</vt:lpstr>
      <vt:lpstr>belugabunyn020</vt:lpstr>
      <vt:lpstr>belugabunyn021</vt:lpstr>
      <vt:lpstr>belugabunyn022</vt:lpstr>
      <vt:lpstr>belugabunyn023</vt:lpstr>
      <vt:lpstr>belugabunyn024</vt:lpstr>
      <vt:lpstr>belugabunyn025</vt:lpstr>
      <vt:lpstr>belugabunyn026</vt:lpstr>
      <vt:lpstr>belugabunyn027</vt:lpstr>
      <vt:lpstr>belugabunyn028</vt:lpstr>
      <vt:lpstr>belugabunyn029</vt:lpstr>
      <vt:lpstr>belugabunyn030</vt:lpstr>
      <vt:lpstr>belugabunyn031</vt:lpstr>
      <vt:lpstr>belugabunyn032</vt:lpstr>
      <vt:lpstr>belugabunyn033</vt:lpstr>
      <vt:lpstr>belugabunyn034</vt:lpstr>
      <vt:lpstr>belugabunyn035</vt:lpstr>
      <vt:lpstr>belugabunyn036</vt:lpstr>
      <vt:lpstr>belugabunyn037</vt:lpstr>
      <vt:lpstr>belugabunyn038</vt:lpstr>
      <vt:lpstr>belugabunyn039</vt:lpstr>
      <vt:lpstr>belugabunyn040</vt:lpstr>
      <vt:lpstr>belugabunyn041</vt:lpstr>
      <vt:lpstr>belugabunyn042</vt:lpstr>
      <vt:lpstr>belugabunyn043</vt:lpstr>
      <vt:lpstr>belugabunyn044</vt:lpstr>
      <vt:lpstr>belugabunyn045</vt:lpstr>
      <vt:lpstr>belugabunyn046</vt:lpstr>
      <vt:lpstr>belugabunyn047</vt:lpstr>
      <vt:lpstr>belugabunyn048</vt:lpstr>
      <vt:lpstr>belugabunyn049</vt:lpstr>
      <vt:lpstr>belugabunyn050</vt:lpstr>
      <vt:lpstr>belugabunyn051</vt:lpstr>
      <vt:lpstr>belugabunyn052</vt:lpstr>
      <vt:lpstr>belugabunyn053</vt:lpstr>
      <vt:lpstr>belugabunyn054</vt:lpstr>
      <vt:lpstr>belugabunyn055</vt:lpstr>
      <vt:lpstr>belugabunyn056</vt:lpstr>
      <vt:lpstr>belugabunyn057</vt:lpstr>
      <vt:lpstr>belugabunyn058</vt:lpstr>
      <vt:lpstr>belugabunyn059</vt:lpstr>
      <vt:lpstr>belugabunyn060</vt:lpstr>
      <vt:lpstr>belugabunyn061</vt:lpstr>
      <vt:lpstr>belugabunyn062</vt:lpstr>
      <vt:lpstr>belugabunyn063</vt:lpstr>
      <vt:lpstr>belugabunyn064</vt:lpstr>
      <vt:lpstr>belugabunyn065</vt:lpstr>
      <vt:lpstr>belugabunyn066</vt:lpstr>
      <vt:lpstr>belugabunyn067</vt:lpstr>
      <vt:lpstr>belugabunyn068</vt:lpstr>
      <vt:lpstr>belugabunyn069</vt:lpstr>
      <vt:lpstr>belugabunyn070</vt:lpstr>
      <vt:lpstr>belugabunyn071</vt:lpstr>
      <vt:lpstr>belugabunyn072</vt:lpstr>
      <vt:lpstr>belugabunyn073</vt:lpstr>
      <vt:lpstr>belugabunyn074</vt:lpstr>
      <vt:lpstr>belugabunyn075</vt:lpstr>
      <vt:lpstr>belugabunyn076</vt:lpstr>
      <vt:lpstr>belugabunyn077</vt:lpstr>
      <vt:lpstr>belugabunyn078</vt:lpstr>
      <vt:lpstr>belugabunyn079</vt:lpstr>
      <vt:lpstr>belugabunyn080</vt:lpstr>
      <vt:lpstr>belugabunyn081</vt:lpstr>
      <vt:lpstr>belugabunyn082</vt:lpstr>
      <vt:lpstr>belugabunyn083</vt:lpstr>
      <vt:lpstr>belugabunyn084</vt:lpstr>
      <vt:lpstr>belugabunyn085</vt:lpstr>
      <vt:lpstr>belugabunyn086</vt:lpstr>
      <vt:lpstr>belugabunyn087</vt:lpstr>
      <vt:lpstr>belugabunyn088</vt:lpstr>
      <vt:lpstr>belugabunyn089</vt:lpstr>
      <vt:lpstr>belugabunyn090</vt:lpstr>
      <vt:lpstr>belugabunyn091</vt:lpstr>
      <vt:lpstr>belugabunyn092</vt:lpstr>
      <vt:lpstr>belugabunyn093</vt:lpstr>
      <vt:lpstr>belugabunyn094</vt:lpstr>
      <vt:lpstr>belugabunyn095</vt:lpstr>
      <vt:lpstr>belugabunyn096</vt:lpstr>
      <vt:lpstr>belugabunyn097</vt:lpstr>
      <vt:lpstr>belugabunyn098</vt:lpstr>
      <vt:lpstr>belugabunyn099</vt:lpstr>
      <vt:lpstr>belugabunyn100</vt:lpstr>
      <vt:lpstr>belugabunyn101</vt:lpstr>
      <vt:lpstr>belugabunyn102</vt:lpstr>
      <vt:lpstr>belugabunyn103</vt:lpstr>
      <vt:lpstr>belugabunyn104</vt:lpstr>
      <vt:lpstr>belugabunyn105</vt:lpstr>
      <vt:lpstr>belugabunyn106</vt:lpstr>
      <vt:lpstr>belugabunyn107</vt:lpstr>
      <vt:lpstr>belugabunyn108</vt:lpstr>
      <vt:lpstr>belugabunyn109</vt:lpstr>
      <vt:lpstr>belugabunyn110</vt:lpstr>
      <vt:lpstr>belugabunyn111</vt:lpstr>
      <vt:lpstr>belugabunyn112</vt:lpstr>
      <vt:lpstr>belugabunyn113</vt:lpstr>
      <vt:lpstr>belugabunyn114</vt:lpstr>
      <vt:lpstr>belugabunyn115</vt:lpstr>
      <vt:lpstr>belugabunyn116</vt:lpstr>
      <vt:lpstr>belugabunyn117</vt:lpstr>
      <vt:lpstr>belugabunyn118</vt:lpstr>
      <vt:lpstr>belugabunyn119</vt:lpstr>
      <vt:lpstr>belugabunyn120</vt:lpstr>
      <vt:lpstr>belugabunyn121</vt:lpstr>
      <vt:lpstr>belugabunyn122</vt:lpstr>
      <vt:lpstr>belugabunyn123</vt:lpstr>
      <vt:lpstr>belugabunyn124</vt:lpstr>
      <vt:lpstr>belugabunyn125</vt:lpstr>
      <vt:lpstr>belugabunyn126</vt:lpstr>
      <vt:lpstr>belugabunyn127</vt:lpstr>
      <vt:lpstr>belugabunyn128</vt:lpstr>
      <vt:lpstr>belugabunyn129</vt:lpstr>
      <vt:lpstr>belugabunyn130</vt:lpstr>
      <vt:lpstr>belugabunyn131</vt:lpstr>
      <vt:lpstr>belugabunyn132</vt:lpstr>
      <vt:lpstr>belugabunyn133</vt:lpstr>
      <vt:lpstr>belugabunyn134</vt:lpstr>
      <vt:lpstr>belugabunyn135</vt:lpstr>
      <vt:lpstr>belugabunyn136</vt:lpstr>
      <vt:lpstr>belugabunyn137</vt:lpstr>
      <vt:lpstr>belugabunyn138</vt:lpstr>
      <vt:lpstr>belugabunyn139</vt:lpstr>
      <vt:lpstr>belugabunyn140</vt:lpstr>
      <vt:lpstr>belugabunyn141</vt:lpstr>
      <vt:lpstr>belugabunyn142</vt:lpstr>
      <vt:lpstr>belugabunyn143</vt:lpstr>
      <vt:lpstr>belugabunyn144</vt:lpstr>
      <vt:lpstr>belugabunyn145</vt:lpstr>
      <vt:lpstr>belugabunyn146</vt:lpstr>
      <vt:lpstr>belugabunyn147</vt:lpstr>
      <vt:lpstr>belugabunyn148</vt:lpstr>
      <vt:lpstr>belugabunyn149</vt:lpstr>
      <vt:lpstr>belugabunyn150</vt:lpstr>
      <vt:lpstr>belugabunyn151</vt:lpstr>
      <vt:lpstr>belugabunyn152</vt:lpstr>
      <vt:lpstr>belugabunyn153</vt:lpstr>
      <vt:lpstr>belugabunyn154</vt:lpstr>
      <vt:lpstr>belugabunyn155</vt:lpstr>
      <vt:lpstr>belugabunyn156</vt:lpstr>
      <vt:lpstr>belugabunyn157</vt:lpstr>
      <vt:lpstr>belugabunyn158</vt:lpstr>
      <vt:lpstr>belugabunyn159</vt:lpstr>
      <vt:lpstr>belugabunyn160</vt:lpstr>
      <vt:lpstr>belugabunyn161</vt:lpstr>
      <vt:lpstr>belugabunyn162</vt:lpstr>
      <vt:lpstr>belugabunyn163</vt:lpstr>
      <vt:lpstr>belugabunyn164</vt:lpstr>
      <vt:lpstr>belugabunyn165</vt:lpstr>
      <vt:lpstr>belugabunyn166</vt:lpstr>
      <vt:lpstr>belugabunyn167</vt:lpstr>
      <vt:lpstr>belugabunyn168</vt:lpstr>
      <vt:lpstr>belugabunyn169</vt:lpstr>
      <vt:lpstr>belugabunyn170</vt:lpstr>
      <vt:lpstr>belugabunyn171</vt:lpstr>
      <vt:lpstr>belugabunyn172</vt:lpstr>
      <vt:lpstr>belugabunyn173</vt:lpstr>
      <vt:lpstr>belugabunyn174</vt:lpstr>
      <vt:lpstr>belugabunyn175</vt:lpstr>
      <vt:lpstr>belugabunyn176</vt:lpstr>
      <vt:lpstr>belugabunyn177</vt:lpstr>
      <vt:lpstr>belugabunyn178</vt:lpstr>
      <vt:lpstr>belugabunyn179</vt:lpstr>
      <vt:lpstr>belugabunyn180</vt:lpstr>
      <vt:lpstr>belugabunyn181</vt:lpstr>
      <vt:lpstr>belugabunyn182</vt:lpstr>
      <vt:lpstr>belugabunyn183</vt:lpstr>
      <vt:lpstr>belugabunyn184</vt:lpstr>
      <vt:lpstr>belugabunyn185</vt:lpstr>
      <vt:lpstr>belugabunyn186</vt:lpstr>
      <vt:lpstr>belugabunyn187</vt:lpstr>
      <vt:lpstr>belugabunyn188</vt:lpstr>
      <vt:lpstr>belugabunyn189</vt:lpstr>
      <vt:lpstr>belugabunyn190</vt:lpstr>
      <vt:lpstr>belugabunyn191</vt:lpstr>
      <vt:lpstr>belugabunyn192</vt:lpstr>
      <vt:lpstr>belugabunyn193</vt:lpstr>
      <vt:lpstr>belugabunyn194</vt:lpstr>
      <vt:lpstr>belugabunyn195</vt:lpstr>
      <vt:lpstr>belugabunyn196</vt:lpstr>
      <vt:lpstr>belugabunyn197</vt:lpstr>
      <vt:lpstr>belugabunyn198</vt:lpstr>
      <vt:lpstr>belugabunyn199</vt:lpstr>
      <vt:lpstr>belugabunyn200</vt:lpstr>
      <vt:lpstr>belugabunyn201</vt:lpstr>
      <vt:lpstr>belugabunyn202</vt:lpstr>
      <vt:lpstr>belugabunyn203</vt:lpstr>
      <vt:lpstr>belugabunyn204</vt:lpstr>
      <vt:lpstr>belugabunyn205</vt:lpstr>
      <vt:lpstr>belugabunyn206</vt:lpstr>
      <vt:lpstr>belugabunyn207</vt:lpstr>
      <vt:lpstr>belugabunyn208</vt:lpstr>
      <vt:lpstr>belugabunyn209</vt:lpstr>
      <vt:lpstr>belugabunyn210</vt:lpstr>
      <vt:lpstr>belugabunyn211</vt:lpstr>
      <vt:lpstr>belugabunyn212</vt:lpstr>
      <vt:lpstr>belugabunyn213</vt:lpstr>
      <vt:lpstr>belugabunyn214</vt:lpstr>
      <vt:lpstr>belugabunyn215</vt:lpstr>
      <vt:lpstr>belugabunyn216</vt:lpstr>
      <vt:lpstr>belugabunyn217</vt:lpstr>
      <vt:lpstr>belugabunyn218</vt:lpstr>
      <vt:lpstr>belugabunyn219</vt:lpstr>
      <vt:lpstr>belugabunyn220</vt:lpstr>
      <vt:lpstr>belugabunyn221</vt:lpstr>
      <vt:lpstr>belugabunyn222</vt:lpstr>
      <vt:lpstr>belugabunyn223</vt:lpstr>
      <vt:lpstr>belugabunyn224</vt:lpstr>
      <vt:lpstr>belugabunyn225</vt:lpstr>
      <vt:lpstr>belugabunyn226</vt:lpstr>
      <vt:lpstr>belugabunyn227</vt:lpstr>
      <vt:lpstr>belugabunyn228</vt:lpstr>
      <vt:lpstr>belugabunyn229</vt:lpstr>
      <vt:lpstr>belugabunyn230</vt:lpstr>
      <vt:lpstr>belugabunyn231</vt:lpstr>
      <vt:lpstr>belugabunyn232</vt:lpstr>
      <vt:lpstr>belugabunyn233</vt:lpstr>
      <vt:lpstr>belugabunyn234</vt:lpstr>
      <vt:lpstr>belugabunyn235</vt:lpstr>
      <vt:lpstr>belugabunyn236</vt:lpstr>
      <vt:lpstr>belugabunyn237</vt:lpstr>
      <vt:lpstr>belugabunyn238</vt:lpstr>
      <vt:lpstr>belugabunyn239</vt:lpstr>
      <vt:lpstr>belugabunyn240</vt:lpstr>
      <vt:lpstr>belugabunyn241</vt:lpstr>
      <vt:lpstr>belugabunyn242</vt:lpstr>
      <vt:lpstr>belugabunyn243</vt:lpstr>
      <vt:lpstr>belugabunyn244</vt:lpstr>
      <vt:lpstr>belugabunyn245</vt:lpstr>
      <vt:lpstr>belugabunyn246</vt:lpstr>
      <vt:lpstr>belugabunyn247</vt:lpstr>
      <vt:lpstr>belugabunyn248</vt:lpstr>
      <vt:lpstr>belugabunyn249</vt:lpstr>
      <vt:lpstr>belugabunyn250</vt:lpstr>
      <vt:lpstr>belugabunyn251</vt:lpstr>
      <vt:lpstr>belugabunyn252</vt:lpstr>
      <vt:lpstr>belugabunyn253</vt:lpstr>
      <vt:lpstr>belugabunyn254</vt:lpstr>
      <vt:lpstr>belugabunyn255</vt:lpstr>
      <vt:lpstr>belugabunyn256</vt:lpstr>
      <vt:lpstr>belugabunyn257</vt:lpstr>
      <vt:lpstr>belugabunyn258</vt:lpstr>
      <vt:lpstr>belugabunyn259</vt:lpstr>
      <vt:lpstr>belugabunyn260</vt:lpstr>
      <vt:lpstr>belugabunyn261</vt:lpstr>
      <vt:lpstr>belugabunyn262</vt:lpstr>
      <vt:lpstr>belugabunyn263</vt:lpstr>
      <vt:lpstr>belugabunyn264</vt:lpstr>
      <vt:lpstr>belugabunyn265</vt:lpstr>
      <vt:lpstr>belugabunyn266</vt:lpstr>
      <vt:lpstr>belugabunyn267</vt:lpstr>
      <vt:lpstr>belugabunyn268</vt:lpstr>
      <vt:lpstr>belugabunyn269</vt:lpstr>
      <vt:lpstr>belugabunyn270</vt:lpstr>
      <vt:lpstr>belugabunyn271</vt:lpstr>
      <vt:lpstr>belugabunyn272</vt:lpstr>
      <vt:lpstr>belugabunyn273</vt:lpstr>
      <vt:lpstr>belugabunyn274</vt:lpstr>
      <vt:lpstr>belugabunyn275</vt:lpstr>
      <vt:lpstr>belugabunyn276</vt:lpstr>
      <vt:lpstr>belugabunyn277</vt:lpstr>
      <vt:lpstr>belugabunyn278</vt:lpstr>
      <vt:lpstr>belugabunyn279</vt:lpstr>
      <vt:lpstr>belugabunyn280</vt:lpstr>
      <vt:lpstr>belugabunyn281</vt:lpstr>
      <vt:lpstr>belugabunyn282</vt:lpstr>
      <vt:lpstr>belugabunyn283</vt:lpstr>
      <vt:lpstr>belugabunyn284</vt:lpstr>
      <vt:lpstr>belugabunyn285</vt:lpstr>
      <vt:lpstr>belugabunyn286</vt:lpstr>
      <vt:lpstr>belugabunyn287</vt:lpstr>
      <vt:lpstr>belugabunyn288</vt:lpstr>
      <vt:lpstr>belugabunyn289</vt:lpstr>
      <vt:lpstr>belugabunyn290</vt:lpstr>
      <vt:lpstr>belugabunyn291</vt:lpstr>
      <vt:lpstr>belugabunyn292</vt:lpstr>
      <vt:lpstr>belugabunyn293</vt:lpstr>
      <vt:lpstr>belugabunyn294</vt:lpstr>
      <vt:lpstr>belugabunyn295</vt:lpstr>
      <vt:lpstr>belugabunyn296</vt:lpstr>
      <vt:lpstr>belugabunyn297</vt:lpstr>
      <vt:lpstr>belugabunyn298</vt:lpstr>
      <vt:lpstr>belugabunyn299</vt:lpstr>
      <vt:lpstr>belugabunyn300</vt:lpstr>
      <vt:lpstr>belugabunyn301</vt:lpstr>
      <vt:lpstr>belugabunyn302</vt:lpstr>
      <vt:lpstr>belugabunyn303</vt:lpstr>
      <vt:lpstr>belugabunyn304</vt:lpstr>
      <vt:lpstr>belugabunyn305</vt:lpstr>
      <vt:lpstr>belugabunyn306</vt:lpstr>
      <vt:lpstr>belugabunyn307</vt:lpstr>
      <vt:lpstr>belugabunyn308</vt:lpstr>
      <vt:lpstr>belugabunyn309</vt:lpstr>
      <vt:lpstr>belugabunyn310</vt:lpstr>
      <vt:lpstr>belugabunyn311</vt:lpstr>
      <vt:lpstr>belugabunyn312</vt:lpstr>
      <vt:lpstr>belugabunyn313</vt:lpstr>
      <vt:lpstr>belugabunyn314</vt:lpstr>
      <vt:lpstr>belugabunyn315</vt:lpstr>
      <vt:lpstr>belugabunyn316</vt:lpstr>
      <vt:lpstr>belugabunyn317</vt:lpstr>
      <vt:lpstr>belugabunyn318</vt:lpstr>
      <vt:lpstr>belugabunyn319</vt:lpstr>
      <vt:lpstr>belugabunyn320</vt:lpstr>
      <vt:lpstr>belugabunyn321</vt:lpstr>
      <vt:lpstr>belugabunyn322</vt:lpstr>
      <vt:lpstr>belugabunyn323</vt:lpstr>
      <vt:lpstr>belugabunyn324</vt:lpstr>
      <vt:lpstr>belugabunyn325</vt:lpstr>
      <vt:lpstr>belugabunyn326</vt:lpstr>
      <vt:lpstr>belugabunyn327</vt:lpstr>
      <vt:lpstr>belugabunyn328</vt:lpstr>
      <vt:lpstr>belugabunyn329</vt:lpstr>
      <vt:lpstr>belugabunyn330</vt:lpstr>
      <vt:lpstr>belugabunyn331</vt:lpstr>
      <vt:lpstr>belugabunyn332</vt:lpstr>
      <vt:lpstr>belugabunyn333</vt:lpstr>
      <vt:lpstr>belugabunyn334</vt:lpstr>
      <vt:lpstr>belugabunyn335</vt:lpstr>
      <vt:lpstr>belugabunyn336</vt:lpstr>
      <vt:lpstr>belugabunyn337</vt:lpstr>
      <vt:lpstr>belugabunyn338</vt:lpstr>
      <vt:lpstr>belugabunyn339</vt:lpstr>
      <vt:lpstr>belugabunyn340</vt:lpstr>
      <vt:lpstr>belugabunyn341</vt:lpstr>
      <vt:lpstr>belugabunyn342</vt:lpstr>
      <vt:lpstr>belugabunyn343</vt:lpstr>
      <vt:lpstr>belugabunyn344</vt:lpstr>
      <vt:lpstr>belugabunyn345</vt:lpstr>
      <vt:lpstr>belugabunyn346</vt:lpstr>
      <vt:lpstr>belugabunyn347</vt:lpstr>
      <vt:lpstr>belugabunyn348</vt:lpstr>
      <vt:lpstr>belugabunyn349</vt:lpstr>
      <vt:lpstr>belugabunyn350</vt:lpstr>
      <vt:lpstr>belugabunyn351</vt:lpstr>
      <vt:lpstr>belugabunyn352</vt:lpstr>
      <vt:lpstr>belugabunyn353</vt:lpstr>
      <vt:lpstr>belugabunyn354</vt:lpstr>
      <vt:lpstr>belugabunyn355</vt:lpstr>
      <vt:lpstr>belugabunyn356</vt:lpstr>
      <vt:lpstr>belugabunyn357</vt:lpstr>
      <vt:lpstr>belugabunyn358</vt:lpstr>
      <vt:lpstr>belugabunyn359</vt:lpstr>
      <vt:lpstr>belugabunyn360</vt:lpstr>
      <vt:lpstr>belugabunyn361</vt:lpstr>
      <vt:lpstr>belugabunyn362</vt:lpstr>
      <vt:lpstr>belugabunyn363</vt:lpstr>
      <vt:lpstr>belugabunyn364</vt:lpstr>
      <vt:lpstr>belugabunyn365</vt:lpstr>
      <vt:lpstr>belugabunyn366</vt:lpstr>
      <vt:lpstr>belugabunyn367</vt:lpstr>
      <vt:lpstr>belugabunyn368</vt:lpstr>
      <vt:lpstr>belugabunyn369</vt:lpstr>
      <vt:lpstr>belugabunyn370</vt:lpstr>
      <vt:lpstr>belugabunyn371</vt:lpstr>
      <vt:lpstr>belugabunyn372</vt:lpstr>
      <vt:lpstr>belugabunyn373</vt:lpstr>
      <vt:lpstr>belugabunyn374</vt:lpstr>
      <vt:lpstr>belugabunyn375</vt:lpstr>
      <vt:lpstr>belugabunyn376</vt:lpstr>
      <vt:lpstr>belugabunyn377</vt:lpstr>
      <vt:lpstr>belugabunyn378</vt:lpstr>
      <vt:lpstr>belugabunyn379</vt:lpstr>
      <vt:lpstr>belugabunyn380</vt:lpstr>
      <vt:lpstr>belugabunyn381</vt:lpstr>
      <vt:lpstr>belugabunyn382</vt:lpstr>
      <vt:lpstr>belugabunyn383</vt:lpstr>
      <vt:lpstr>belugabunyn384</vt:lpstr>
      <vt:lpstr>belugabunyn385</vt:lpstr>
      <vt:lpstr>belugabunyn386</vt:lpstr>
      <vt:lpstr>belugabunyn387</vt:lpstr>
      <vt:lpstr>belugabunyn388</vt:lpstr>
      <vt:lpstr>belugabunyn389</vt:lpstr>
      <vt:lpstr>belugabunyn390</vt:lpstr>
      <vt:lpstr>belugabunyn391</vt:lpstr>
      <vt:lpstr>belugabunyn392</vt:lpstr>
      <vt:lpstr>belugabunyn393</vt:lpstr>
      <vt:lpstr>belugabunyn394</vt:lpstr>
      <vt:lpstr>belugabunyn395</vt:lpstr>
      <vt:lpstr>belugabunyn396</vt:lpstr>
      <vt:lpstr>belugabunyn397</vt:lpstr>
      <vt:lpstr>belugabunyn398</vt:lpstr>
      <vt:lpstr>belugabunyn399</vt:lpstr>
      <vt:lpstr>belugabunyn400</vt:lpstr>
      <vt:lpstr>belugabunyn401</vt:lpstr>
      <vt:lpstr>belugabunyn402</vt:lpstr>
      <vt:lpstr>belugabunyn403</vt:lpstr>
      <vt:lpstr>belugabunyn404</vt:lpstr>
      <vt:lpstr>belugabunyn405</vt:lpstr>
      <vt:lpstr>belugabunyn406</vt:lpstr>
      <vt:lpstr>belugabunyn407</vt:lpstr>
      <vt:lpstr>belugabunyn408</vt:lpstr>
      <vt:lpstr>belugabunyn409</vt:lpstr>
      <vt:lpstr>belugabunyn410</vt:lpstr>
      <vt:lpstr>belugabunyn411</vt:lpstr>
      <vt:lpstr>belugabunyn412</vt:lpstr>
      <vt:lpstr>belugabunyn413</vt:lpstr>
      <vt:lpstr>belugabunyn414</vt:lpstr>
      <vt:lpstr>belugabunyn415</vt:lpstr>
      <vt:lpstr>belugabunyn416</vt:lpstr>
      <vt:lpstr>belugabunyn417</vt:lpstr>
      <vt:lpstr>belugabunyn418</vt:lpstr>
      <vt:lpstr>belugabunyn419</vt:lpstr>
      <vt:lpstr>belugabunyn420</vt:lpstr>
      <vt:lpstr>belugabunyn421</vt:lpstr>
      <vt:lpstr>belugabunyn422</vt:lpstr>
      <vt:lpstr>belugabunyn423</vt:lpstr>
      <vt:lpstr>belugabunyn424</vt:lpstr>
      <vt:lpstr>belugabunyn425</vt:lpstr>
      <vt:lpstr>belugabunyn426</vt:lpstr>
      <vt:lpstr>belugabunyn427</vt:lpstr>
      <vt:lpstr>belugabunyn428</vt:lpstr>
      <vt:lpstr>belugabunyn429</vt:lpstr>
      <vt:lpstr>belugabunyn430</vt:lpstr>
      <vt:lpstr>belugabunyn431</vt:lpstr>
      <vt:lpstr>belugabunyn432</vt:lpstr>
      <vt:lpstr>belugabunyn433</vt:lpstr>
      <vt:lpstr>belugabunyn434</vt:lpstr>
      <vt:lpstr>belugabunyn435</vt:lpstr>
      <vt:lpstr>belugabunyn436</vt:lpstr>
      <vt:lpstr>belugabunyn437</vt:lpstr>
      <vt:lpstr>belugabunyn438</vt:lpstr>
      <vt:lpstr>belugabunyn439</vt:lpstr>
      <vt:lpstr>belugabunyn440</vt:lpstr>
      <vt:lpstr>belugabunyn441</vt:lpstr>
      <vt:lpstr>belugabunyn442</vt:lpstr>
      <vt:lpstr>belugabunyn443</vt:lpstr>
      <vt:lpstr>belugabunyn444</vt:lpstr>
      <vt:lpstr>belugabunyn445</vt:lpstr>
      <vt:lpstr>belugabunyn446</vt:lpstr>
      <vt:lpstr>belugabunyn447</vt:lpstr>
      <vt:lpstr>belugabunyn448</vt:lpstr>
      <vt:lpstr>belugabunyn449</vt:lpstr>
      <vt:lpstr>belugabunyn450</vt:lpstr>
      <vt:lpstr>belugabunyn451</vt:lpstr>
      <vt:lpstr>belugabunyn452</vt:lpstr>
      <vt:lpstr>belugabunyn453</vt:lpstr>
      <vt:lpstr>belugabunyn454</vt:lpstr>
      <vt:lpstr>belugabunyn455</vt:lpstr>
      <vt:lpstr>belugabunyn456</vt:lpstr>
      <vt:lpstr>belugabunyn457</vt:lpstr>
      <vt:lpstr>belugabunyn458</vt:lpstr>
      <vt:lpstr>belugabunyn459</vt:lpstr>
      <vt:lpstr>belugabunyn460</vt:lpstr>
      <vt:lpstr>belugabunyn461</vt:lpstr>
      <vt:lpstr>belugabunyn462</vt:lpstr>
      <vt:lpstr>belugabunyn463</vt:lpstr>
      <vt:lpstr>belugabunyn464</vt:lpstr>
      <vt:lpstr>belugabunyn465</vt:lpstr>
      <vt:lpstr>belugabunyn466</vt:lpstr>
      <vt:lpstr>belugabunyn467</vt:lpstr>
      <vt:lpstr>belugabunyn468</vt:lpstr>
      <vt:lpstr>belugabunyn469</vt:lpstr>
      <vt:lpstr>belugabunyn470</vt:lpstr>
      <vt:lpstr>belugabunyn471</vt:lpstr>
      <vt:lpstr>belugabunyn472</vt:lpstr>
      <vt:lpstr>belugabunyn473</vt:lpstr>
      <vt:lpstr>belugabunyn474</vt:lpstr>
      <vt:lpstr>belugabunyn475</vt:lpstr>
      <vt:lpstr>belugabunyn476</vt:lpstr>
      <vt:lpstr>belugabunyn477</vt:lpstr>
      <vt:lpstr>belugabunyn478</vt:lpstr>
      <vt:lpstr>belugabunyn479</vt:lpstr>
      <vt:lpstr>belugabunyn480</vt:lpstr>
      <vt:lpstr>belugabunyn481</vt:lpstr>
      <vt:lpstr>belugabunyn482</vt:lpstr>
      <vt:lpstr>belugabunyn483</vt:lpstr>
      <vt:lpstr>belugabunyn484</vt:lpstr>
      <vt:lpstr>belugabunyn485</vt:lpstr>
      <vt:lpstr>belugabunyn486</vt:lpstr>
      <vt:lpstr>belugabunyn487</vt:lpstr>
      <vt:lpstr>belugabunyn488</vt:lpstr>
      <vt:lpstr>belugabunyn489</vt:lpstr>
      <vt:lpstr>belugabunyn490</vt:lpstr>
      <vt:lpstr>belugabunyn491</vt:lpstr>
      <vt:lpstr>belugabunyn492</vt:lpstr>
      <vt:lpstr>belugabunyn493</vt:lpstr>
      <vt:lpstr>belugabunyn494</vt:lpstr>
      <vt:lpstr>belugabunyn495</vt:lpstr>
      <vt:lpstr>belugabunyn496</vt:lpstr>
      <vt:lpstr>belugabunyn497</vt:lpstr>
      <vt:lpstr>belugabunyn498</vt:lpstr>
      <vt:lpstr>belugabunyn499</vt:lpstr>
      <vt:lpstr>belugabunyn500</vt:lpstr>
      <vt:lpstr>billid001</vt:lpstr>
      <vt:lpstr>billid002</vt:lpstr>
      <vt:lpstr>billid003</vt:lpstr>
      <vt:lpstr>billid004</vt:lpstr>
      <vt:lpstr>billid005</vt:lpstr>
      <vt:lpstr>billid006</vt:lpstr>
      <vt:lpstr>billid007</vt:lpstr>
      <vt:lpstr>billid008</vt:lpstr>
      <vt:lpstr>billid009</vt:lpstr>
      <vt:lpstr>billid010</vt:lpstr>
      <vt:lpstr>billid011</vt:lpstr>
      <vt:lpstr>billid012</vt:lpstr>
      <vt:lpstr>billid013</vt:lpstr>
      <vt:lpstr>billid014</vt:lpstr>
      <vt:lpstr>billid015</vt:lpstr>
      <vt:lpstr>billid016</vt:lpstr>
      <vt:lpstr>billid017</vt:lpstr>
      <vt:lpstr>billid018</vt:lpstr>
      <vt:lpstr>billid019</vt:lpstr>
      <vt:lpstr>billid020</vt:lpstr>
      <vt:lpstr>billid021</vt:lpstr>
      <vt:lpstr>billid022</vt:lpstr>
      <vt:lpstr>billid023</vt:lpstr>
      <vt:lpstr>billid024</vt:lpstr>
      <vt:lpstr>billid025</vt:lpstr>
      <vt:lpstr>billid026</vt:lpstr>
      <vt:lpstr>billid027</vt:lpstr>
      <vt:lpstr>billid028</vt:lpstr>
      <vt:lpstr>billid029</vt:lpstr>
      <vt:lpstr>billid030</vt:lpstr>
      <vt:lpstr>billid031</vt:lpstr>
      <vt:lpstr>billid032</vt:lpstr>
      <vt:lpstr>billid033</vt:lpstr>
      <vt:lpstr>billid034</vt:lpstr>
      <vt:lpstr>billid035</vt:lpstr>
      <vt:lpstr>billid036</vt:lpstr>
      <vt:lpstr>billid037</vt:lpstr>
      <vt:lpstr>billid038</vt:lpstr>
      <vt:lpstr>billid039</vt:lpstr>
      <vt:lpstr>billid040</vt:lpstr>
      <vt:lpstr>billid041</vt:lpstr>
      <vt:lpstr>billid042</vt:lpstr>
      <vt:lpstr>billid043</vt:lpstr>
      <vt:lpstr>billid044</vt:lpstr>
      <vt:lpstr>billid045</vt:lpstr>
      <vt:lpstr>billid046</vt:lpstr>
      <vt:lpstr>billid047</vt:lpstr>
      <vt:lpstr>billid048</vt:lpstr>
      <vt:lpstr>billid049</vt:lpstr>
      <vt:lpstr>billid050</vt:lpstr>
      <vt:lpstr>billid051</vt:lpstr>
      <vt:lpstr>billid052</vt:lpstr>
      <vt:lpstr>billid053</vt:lpstr>
      <vt:lpstr>billid054</vt:lpstr>
      <vt:lpstr>billid055</vt:lpstr>
      <vt:lpstr>billid056</vt:lpstr>
      <vt:lpstr>billid057</vt:lpstr>
      <vt:lpstr>billid058</vt:lpstr>
      <vt:lpstr>billid059</vt:lpstr>
      <vt:lpstr>billid060</vt:lpstr>
      <vt:lpstr>billid061</vt:lpstr>
      <vt:lpstr>billid062</vt:lpstr>
      <vt:lpstr>billid063</vt:lpstr>
      <vt:lpstr>billid064</vt:lpstr>
      <vt:lpstr>billid065</vt:lpstr>
      <vt:lpstr>billid066</vt:lpstr>
      <vt:lpstr>billid067</vt:lpstr>
      <vt:lpstr>billid068</vt:lpstr>
      <vt:lpstr>billid069</vt:lpstr>
      <vt:lpstr>billid070</vt:lpstr>
      <vt:lpstr>billid071</vt:lpstr>
      <vt:lpstr>billid072</vt:lpstr>
      <vt:lpstr>billid073</vt:lpstr>
      <vt:lpstr>billid074</vt:lpstr>
      <vt:lpstr>billid075</vt:lpstr>
      <vt:lpstr>billid076</vt:lpstr>
      <vt:lpstr>billid077</vt:lpstr>
      <vt:lpstr>billid078</vt:lpstr>
      <vt:lpstr>billid079</vt:lpstr>
      <vt:lpstr>billid080</vt:lpstr>
      <vt:lpstr>billid081</vt:lpstr>
      <vt:lpstr>billid082</vt:lpstr>
      <vt:lpstr>billid083</vt:lpstr>
      <vt:lpstr>billid084</vt:lpstr>
      <vt:lpstr>billid085</vt:lpstr>
      <vt:lpstr>billid086</vt:lpstr>
      <vt:lpstr>billid087</vt:lpstr>
      <vt:lpstr>billid088</vt:lpstr>
      <vt:lpstr>billid089</vt:lpstr>
      <vt:lpstr>billid090</vt:lpstr>
      <vt:lpstr>billid091</vt:lpstr>
      <vt:lpstr>billid092</vt:lpstr>
      <vt:lpstr>billid093</vt:lpstr>
      <vt:lpstr>billid094</vt:lpstr>
      <vt:lpstr>billid095</vt:lpstr>
      <vt:lpstr>billid096</vt:lpstr>
      <vt:lpstr>billid097</vt:lpstr>
      <vt:lpstr>billid098</vt:lpstr>
      <vt:lpstr>billid099</vt:lpstr>
      <vt:lpstr>billid100</vt:lpstr>
      <vt:lpstr>billid101</vt:lpstr>
      <vt:lpstr>billid102</vt:lpstr>
      <vt:lpstr>billid103</vt:lpstr>
      <vt:lpstr>billid104</vt:lpstr>
      <vt:lpstr>billid105</vt:lpstr>
      <vt:lpstr>billid106</vt:lpstr>
      <vt:lpstr>billid107</vt:lpstr>
      <vt:lpstr>billid108</vt:lpstr>
      <vt:lpstr>billid109</vt:lpstr>
      <vt:lpstr>billid110</vt:lpstr>
      <vt:lpstr>billid111</vt:lpstr>
      <vt:lpstr>billid112</vt:lpstr>
      <vt:lpstr>billid113</vt:lpstr>
      <vt:lpstr>billid114</vt:lpstr>
      <vt:lpstr>billid115</vt:lpstr>
      <vt:lpstr>billid116</vt:lpstr>
      <vt:lpstr>billid117</vt:lpstr>
      <vt:lpstr>billid118</vt:lpstr>
      <vt:lpstr>billid119</vt:lpstr>
      <vt:lpstr>billid120</vt:lpstr>
      <vt:lpstr>billid121</vt:lpstr>
      <vt:lpstr>billid122</vt:lpstr>
      <vt:lpstr>billid123</vt:lpstr>
      <vt:lpstr>billid124</vt:lpstr>
      <vt:lpstr>billid125</vt:lpstr>
      <vt:lpstr>billid126</vt:lpstr>
      <vt:lpstr>billid127</vt:lpstr>
      <vt:lpstr>billid128</vt:lpstr>
      <vt:lpstr>billid129</vt:lpstr>
      <vt:lpstr>billid130</vt:lpstr>
      <vt:lpstr>billid131</vt:lpstr>
      <vt:lpstr>billid132</vt:lpstr>
      <vt:lpstr>billid133</vt:lpstr>
      <vt:lpstr>billid134</vt:lpstr>
      <vt:lpstr>billid135</vt:lpstr>
      <vt:lpstr>billid136</vt:lpstr>
      <vt:lpstr>billid137</vt:lpstr>
      <vt:lpstr>billid138</vt:lpstr>
      <vt:lpstr>billid139</vt:lpstr>
      <vt:lpstr>billid140</vt:lpstr>
      <vt:lpstr>billid141</vt:lpstr>
      <vt:lpstr>billid142</vt:lpstr>
      <vt:lpstr>billid143</vt:lpstr>
      <vt:lpstr>billid144</vt:lpstr>
      <vt:lpstr>billid145</vt:lpstr>
      <vt:lpstr>billid146</vt:lpstr>
      <vt:lpstr>billid147</vt:lpstr>
      <vt:lpstr>billid148</vt:lpstr>
      <vt:lpstr>billid149</vt:lpstr>
      <vt:lpstr>billid150</vt:lpstr>
      <vt:lpstr>billid151</vt:lpstr>
      <vt:lpstr>billid152</vt:lpstr>
      <vt:lpstr>billid153</vt:lpstr>
      <vt:lpstr>billid154</vt:lpstr>
      <vt:lpstr>billid155</vt:lpstr>
      <vt:lpstr>billid156</vt:lpstr>
      <vt:lpstr>billid157</vt:lpstr>
      <vt:lpstr>billid158</vt:lpstr>
      <vt:lpstr>billid159</vt:lpstr>
      <vt:lpstr>billid160</vt:lpstr>
      <vt:lpstr>billid161</vt:lpstr>
      <vt:lpstr>billid162</vt:lpstr>
      <vt:lpstr>billid163</vt:lpstr>
      <vt:lpstr>billid164</vt:lpstr>
      <vt:lpstr>billid165</vt:lpstr>
      <vt:lpstr>billid166</vt:lpstr>
      <vt:lpstr>billid167</vt:lpstr>
      <vt:lpstr>billid168</vt:lpstr>
      <vt:lpstr>billid169</vt:lpstr>
      <vt:lpstr>billid170</vt:lpstr>
      <vt:lpstr>billid171</vt:lpstr>
      <vt:lpstr>billid172</vt:lpstr>
      <vt:lpstr>billid173</vt:lpstr>
      <vt:lpstr>billid174</vt:lpstr>
      <vt:lpstr>billid175</vt:lpstr>
      <vt:lpstr>billid176</vt:lpstr>
      <vt:lpstr>billid177</vt:lpstr>
      <vt:lpstr>billid178</vt:lpstr>
      <vt:lpstr>billid179</vt:lpstr>
      <vt:lpstr>billid180</vt:lpstr>
      <vt:lpstr>billid181</vt:lpstr>
      <vt:lpstr>billid182</vt:lpstr>
      <vt:lpstr>billid183</vt:lpstr>
      <vt:lpstr>billid184</vt:lpstr>
      <vt:lpstr>billid185</vt:lpstr>
      <vt:lpstr>billid186</vt:lpstr>
      <vt:lpstr>billid187</vt:lpstr>
      <vt:lpstr>billid188</vt:lpstr>
      <vt:lpstr>billid189</vt:lpstr>
      <vt:lpstr>billid190</vt:lpstr>
      <vt:lpstr>billid191</vt:lpstr>
      <vt:lpstr>billid192</vt:lpstr>
      <vt:lpstr>billid193</vt:lpstr>
      <vt:lpstr>billid194</vt:lpstr>
      <vt:lpstr>billid195</vt:lpstr>
      <vt:lpstr>billid196</vt:lpstr>
      <vt:lpstr>billid197</vt:lpstr>
      <vt:lpstr>billid198</vt:lpstr>
      <vt:lpstr>billid199</vt:lpstr>
      <vt:lpstr>billid200</vt:lpstr>
      <vt:lpstr>billid201</vt:lpstr>
      <vt:lpstr>billid202</vt:lpstr>
      <vt:lpstr>billid203</vt:lpstr>
      <vt:lpstr>billid204</vt:lpstr>
      <vt:lpstr>billid205</vt:lpstr>
      <vt:lpstr>billid206</vt:lpstr>
      <vt:lpstr>billid207</vt:lpstr>
      <vt:lpstr>billid208</vt:lpstr>
      <vt:lpstr>billid209</vt:lpstr>
      <vt:lpstr>billid210</vt:lpstr>
      <vt:lpstr>billid211</vt:lpstr>
      <vt:lpstr>billid212</vt:lpstr>
      <vt:lpstr>billid213</vt:lpstr>
      <vt:lpstr>billid214</vt:lpstr>
      <vt:lpstr>billid215</vt:lpstr>
      <vt:lpstr>billid216</vt:lpstr>
      <vt:lpstr>billid217</vt:lpstr>
      <vt:lpstr>billid218</vt:lpstr>
      <vt:lpstr>billid219</vt:lpstr>
      <vt:lpstr>billid220</vt:lpstr>
      <vt:lpstr>billid221</vt:lpstr>
      <vt:lpstr>billid222</vt:lpstr>
      <vt:lpstr>billid223</vt:lpstr>
      <vt:lpstr>billid224</vt:lpstr>
      <vt:lpstr>billid225</vt:lpstr>
      <vt:lpstr>billid226</vt:lpstr>
      <vt:lpstr>billid227</vt:lpstr>
      <vt:lpstr>billid228</vt:lpstr>
      <vt:lpstr>billid229</vt:lpstr>
      <vt:lpstr>billid230</vt:lpstr>
      <vt:lpstr>billid231</vt:lpstr>
      <vt:lpstr>billid232</vt:lpstr>
      <vt:lpstr>billid233</vt:lpstr>
      <vt:lpstr>billid234</vt:lpstr>
      <vt:lpstr>billid235</vt:lpstr>
      <vt:lpstr>billid236</vt:lpstr>
      <vt:lpstr>billid237</vt:lpstr>
      <vt:lpstr>billid238</vt:lpstr>
      <vt:lpstr>billid239</vt:lpstr>
      <vt:lpstr>billid240</vt:lpstr>
      <vt:lpstr>billid241</vt:lpstr>
      <vt:lpstr>billid242</vt:lpstr>
      <vt:lpstr>billid243</vt:lpstr>
      <vt:lpstr>billid244</vt:lpstr>
      <vt:lpstr>billid245</vt:lpstr>
      <vt:lpstr>billid246</vt:lpstr>
      <vt:lpstr>billid247</vt:lpstr>
      <vt:lpstr>billid248</vt:lpstr>
      <vt:lpstr>billid249</vt:lpstr>
      <vt:lpstr>billid250</vt:lpstr>
      <vt:lpstr>billid251</vt:lpstr>
      <vt:lpstr>billid252</vt:lpstr>
      <vt:lpstr>billid253</vt:lpstr>
      <vt:lpstr>billid254</vt:lpstr>
      <vt:lpstr>billid255</vt:lpstr>
      <vt:lpstr>billid256</vt:lpstr>
      <vt:lpstr>billid257</vt:lpstr>
      <vt:lpstr>billid258</vt:lpstr>
      <vt:lpstr>billid259</vt:lpstr>
      <vt:lpstr>billid260</vt:lpstr>
      <vt:lpstr>billid261</vt:lpstr>
      <vt:lpstr>billid262</vt:lpstr>
      <vt:lpstr>billid263</vt:lpstr>
      <vt:lpstr>billid264</vt:lpstr>
      <vt:lpstr>billid265</vt:lpstr>
      <vt:lpstr>billid266</vt:lpstr>
      <vt:lpstr>billid267</vt:lpstr>
      <vt:lpstr>billid268</vt:lpstr>
      <vt:lpstr>billid269</vt:lpstr>
      <vt:lpstr>billid270</vt:lpstr>
      <vt:lpstr>billid271</vt:lpstr>
      <vt:lpstr>billid272</vt:lpstr>
      <vt:lpstr>billid273</vt:lpstr>
      <vt:lpstr>billid274</vt:lpstr>
      <vt:lpstr>billid275</vt:lpstr>
      <vt:lpstr>billid276</vt:lpstr>
      <vt:lpstr>billid277</vt:lpstr>
      <vt:lpstr>billid278</vt:lpstr>
      <vt:lpstr>billid279</vt:lpstr>
      <vt:lpstr>billid280</vt:lpstr>
      <vt:lpstr>billid281</vt:lpstr>
      <vt:lpstr>billid282</vt:lpstr>
      <vt:lpstr>billid283</vt:lpstr>
      <vt:lpstr>billid284</vt:lpstr>
      <vt:lpstr>billid285</vt:lpstr>
      <vt:lpstr>billid286</vt:lpstr>
      <vt:lpstr>billid287</vt:lpstr>
      <vt:lpstr>billid288</vt:lpstr>
      <vt:lpstr>billid289</vt:lpstr>
      <vt:lpstr>billid290</vt:lpstr>
      <vt:lpstr>billid291</vt:lpstr>
      <vt:lpstr>billid292</vt:lpstr>
      <vt:lpstr>billid293</vt:lpstr>
      <vt:lpstr>billid294</vt:lpstr>
      <vt:lpstr>billid295</vt:lpstr>
      <vt:lpstr>billid296</vt:lpstr>
      <vt:lpstr>billid297</vt:lpstr>
      <vt:lpstr>billid298</vt:lpstr>
      <vt:lpstr>billid299</vt:lpstr>
      <vt:lpstr>billid300</vt:lpstr>
      <vt:lpstr>billid301</vt:lpstr>
      <vt:lpstr>billid302</vt:lpstr>
      <vt:lpstr>billid303</vt:lpstr>
      <vt:lpstr>billid304</vt:lpstr>
      <vt:lpstr>billid305</vt:lpstr>
      <vt:lpstr>billid306</vt:lpstr>
      <vt:lpstr>billid307</vt:lpstr>
      <vt:lpstr>billid308</vt:lpstr>
      <vt:lpstr>billid309</vt:lpstr>
      <vt:lpstr>billid310</vt:lpstr>
      <vt:lpstr>billid311</vt:lpstr>
      <vt:lpstr>billid312</vt:lpstr>
      <vt:lpstr>billid313</vt:lpstr>
      <vt:lpstr>billid314</vt:lpstr>
      <vt:lpstr>billid315</vt:lpstr>
      <vt:lpstr>billid316</vt:lpstr>
      <vt:lpstr>billid317</vt:lpstr>
      <vt:lpstr>billid318</vt:lpstr>
      <vt:lpstr>billid319</vt:lpstr>
      <vt:lpstr>billid320</vt:lpstr>
      <vt:lpstr>billid321</vt:lpstr>
      <vt:lpstr>billid322</vt:lpstr>
      <vt:lpstr>billid323</vt:lpstr>
      <vt:lpstr>billid324</vt:lpstr>
      <vt:lpstr>billid325</vt:lpstr>
      <vt:lpstr>billid326</vt:lpstr>
      <vt:lpstr>billid327</vt:lpstr>
      <vt:lpstr>billid328</vt:lpstr>
      <vt:lpstr>billid329</vt:lpstr>
      <vt:lpstr>billid330</vt:lpstr>
      <vt:lpstr>billid331</vt:lpstr>
      <vt:lpstr>billid332</vt:lpstr>
      <vt:lpstr>billid333</vt:lpstr>
      <vt:lpstr>billid334</vt:lpstr>
      <vt:lpstr>billid335</vt:lpstr>
      <vt:lpstr>billid336</vt:lpstr>
      <vt:lpstr>billid337</vt:lpstr>
      <vt:lpstr>billid338</vt:lpstr>
      <vt:lpstr>billid339</vt:lpstr>
      <vt:lpstr>billid340</vt:lpstr>
      <vt:lpstr>billid341</vt:lpstr>
      <vt:lpstr>billid342</vt:lpstr>
      <vt:lpstr>billid343</vt:lpstr>
      <vt:lpstr>billid344</vt:lpstr>
      <vt:lpstr>billid345</vt:lpstr>
      <vt:lpstr>billid346</vt:lpstr>
      <vt:lpstr>billid347</vt:lpstr>
      <vt:lpstr>billid348</vt:lpstr>
      <vt:lpstr>billid349</vt:lpstr>
      <vt:lpstr>billid350</vt:lpstr>
      <vt:lpstr>billid351</vt:lpstr>
      <vt:lpstr>billid352</vt:lpstr>
      <vt:lpstr>billid353</vt:lpstr>
      <vt:lpstr>billid354</vt:lpstr>
      <vt:lpstr>billid355</vt:lpstr>
      <vt:lpstr>billid356</vt:lpstr>
      <vt:lpstr>billid357</vt:lpstr>
      <vt:lpstr>billid358</vt:lpstr>
      <vt:lpstr>billid359</vt:lpstr>
      <vt:lpstr>billid360</vt:lpstr>
      <vt:lpstr>billid361</vt:lpstr>
      <vt:lpstr>billid362</vt:lpstr>
      <vt:lpstr>billid363</vt:lpstr>
      <vt:lpstr>billid364</vt:lpstr>
      <vt:lpstr>billid365</vt:lpstr>
      <vt:lpstr>billid366</vt:lpstr>
      <vt:lpstr>billid367</vt:lpstr>
      <vt:lpstr>billid368</vt:lpstr>
      <vt:lpstr>billid369</vt:lpstr>
      <vt:lpstr>billid370</vt:lpstr>
      <vt:lpstr>billid371</vt:lpstr>
      <vt:lpstr>billid372</vt:lpstr>
      <vt:lpstr>billid373</vt:lpstr>
      <vt:lpstr>billid374</vt:lpstr>
      <vt:lpstr>billid375</vt:lpstr>
      <vt:lpstr>billid376</vt:lpstr>
      <vt:lpstr>billid377</vt:lpstr>
      <vt:lpstr>billid378</vt:lpstr>
      <vt:lpstr>billid379</vt:lpstr>
      <vt:lpstr>billid380</vt:lpstr>
      <vt:lpstr>billid381</vt:lpstr>
      <vt:lpstr>billid382</vt:lpstr>
      <vt:lpstr>billid383</vt:lpstr>
      <vt:lpstr>billid384</vt:lpstr>
      <vt:lpstr>billid385</vt:lpstr>
      <vt:lpstr>billid386</vt:lpstr>
      <vt:lpstr>billid387</vt:lpstr>
      <vt:lpstr>billid388</vt:lpstr>
      <vt:lpstr>billid389</vt:lpstr>
      <vt:lpstr>billid390</vt:lpstr>
      <vt:lpstr>billid391</vt:lpstr>
      <vt:lpstr>billid392</vt:lpstr>
      <vt:lpstr>billid393</vt:lpstr>
      <vt:lpstr>billid394</vt:lpstr>
      <vt:lpstr>billid395</vt:lpstr>
      <vt:lpstr>billid396</vt:lpstr>
      <vt:lpstr>billid397</vt:lpstr>
      <vt:lpstr>billid398</vt:lpstr>
      <vt:lpstr>billid399</vt:lpstr>
      <vt:lpstr>billid400</vt:lpstr>
      <vt:lpstr>billid401</vt:lpstr>
      <vt:lpstr>billid402</vt:lpstr>
      <vt:lpstr>billid403</vt:lpstr>
      <vt:lpstr>billid404</vt:lpstr>
      <vt:lpstr>billid405</vt:lpstr>
      <vt:lpstr>billid406</vt:lpstr>
      <vt:lpstr>billid407</vt:lpstr>
      <vt:lpstr>billid408</vt:lpstr>
      <vt:lpstr>billid409</vt:lpstr>
      <vt:lpstr>billid410</vt:lpstr>
      <vt:lpstr>billid411</vt:lpstr>
      <vt:lpstr>billid412</vt:lpstr>
      <vt:lpstr>billid413</vt:lpstr>
      <vt:lpstr>billid414</vt:lpstr>
      <vt:lpstr>billid415</vt:lpstr>
      <vt:lpstr>billid416</vt:lpstr>
      <vt:lpstr>billid417</vt:lpstr>
      <vt:lpstr>billid418</vt:lpstr>
      <vt:lpstr>billid419</vt:lpstr>
      <vt:lpstr>billid420</vt:lpstr>
      <vt:lpstr>billid421</vt:lpstr>
      <vt:lpstr>billid422</vt:lpstr>
      <vt:lpstr>billid423</vt:lpstr>
      <vt:lpstr>billid424</vt:lpstr>
      <vt:lpstr>billid425</vt:lpstr>
      <vt:lpstr>billid426</vt:lpstr>
      <vt:lpstr>billid427</vt:lpstr>
      <vt:lpstr>billid428</vt:lpstr>
      <vt:lpstr>billid429</vt:lpstr>
      <vt:lpstr>billid430</vt:lpstr>
      <vt:lpstr>billid431</vt:lpstr>
      <vt:lpstr>billid432</vt:lpstr>
      <vt:lpstr>billid433</vt:lpstr>
      <vt:lpstr>billid434</vt:lpstr>
      <vt:lpstr>billid435</vt:lpstr>
      <vt:lpstr>billid436</vt:lpstr>
      <vt:lpstr>billid437</vt:lpstr>
      <vt:lpstr>billid438</vt:lpstr>
      <vt:lpstr>billid439</vt:lpstr>
      <vt:lpstr>billid440</vt:lpstr>
      <vt:lpstr>billid441</vt:lpstr>
      <vt:lpstr>billid442</vt:lpstr>
      <vt:lpstr>billid443</vt:lpstr>
      <vt:lpstr>billid444</vt:lpstr>
      <vt:lpstr>billid445</vt:lpstr>
      <vt:lpstr>billid446</vt:lpstr>
      <vt:lpstr>billid447</vt:lpstr>
      <vt:lpstr>billid448</vt:lpstr>
      <vt:lpstr>billid449</vt:lpstr>
      <vt:lpstr>billid450</vt:lpstr>
      <vt:lpstr>billid451</vt:lpstr>
      <vt:lpstr>billid452</vt:lpstr>
      <vt:lpstr>billid453</vt:lpstr>
      <vt:lpstr>billid454</vt:lpstr>
      <vt:lpstr>billid455</vt:lpstr>
      <vt:lpstr>billid456</vt:lpstr>
      <vt:lpstr>billid457</vt:lpstr>
      <vt:lpstr>billid458</vt:lpstr>
      <vt:lpstr>billid459</vt:lpstr>
      <vt:lpstr>billid460</vt:lpstr>
      <vt:lpstr>billid461</vt:lpstr>
      <vt:lpstr>billid462</vt:lpstr>
      <vt:lpstr>billid463</vt:lpstr>
      <vt:lpstr>billid464</vt:lpstr>
      <vt:lpstr>billid465</vt:lpstr>
      <vt:lpstr>billid466</vt:lpstr>
      <vt:lpstr>billid467</vt:lpstr>
      <vt:lpstr>billid468</vt:lpstr>
      <vt:lpstr>billid469</vt:lpstr>
      <vt:lpstr>billid470</vt:lpstr>
      <vt:lpstr>billid471</vt:lpstr>
      <vt:lpstr>billid472</vt:lpstr>
      <vt:lpstr>billid473</vt:lpstr>
      <vt:lpstr>billid474</vt:lpstr>
      <vt:lpstr>billid475</vt:lpstr>
      <vt:lpstr>billid476</vt:lpstr>
      <vt:lpstr>billid477</vt:lpstr>
      <vt:lpstr>billid478</vt:lpstr>
      <vt:lpstr>billid479</vt:lpstr>
      <vt:lpstr>billid480</vt:lpstr>
      <vt:lpstr>billid481</vt:lpstr>
      <vt:lpstr>billid482</vt:lpstr>
      <vt:lpstr>billid483</vt:lpstr>
      <vt:lpstr>billid484</vt:lpstr>
      <vt:lpstr>billid485</vt:lpstr>
      <vt:lpstr>billid486</vt:lpstr>
      <vt:lpstr>billid487</vt:lpstr>
      <vt:lpstr>billid488</vt:lpstr>
      <vt:lpstr>billid489</vt:lpstr>
      <vt:lpstr>billid490</vt:lpstr>
      <vt:lpstr>billid491</vt:lpstr>
      <vt:lpstr>billid492</vt:lpstr>
      <vt:lpstr>billid493</vt:lpstr>
      <vt:lpstr>billid494</vt:lpstr>
      <vt:lpstr>billid495</vt:lpstr>
      <vt:lpstr>billid496</vt:lpstr>
      <vt:lpstr>billid497</vt:lpstr>
      <vt:lpstr>billid498</vt:lpstr>
      <vt:lpstr>billid499</vt:lpstr>
      <vt:lpstr>billid500</vt:lpstr>
      <vt:lpstr>billingStationCustomerNumber</vt:lpstr>
      <vt:lpstr>billingStationCustomerNumberOnly</vt:lpstr>
      <vt:lpstr>billingStationDeptName</vt:lpstr>
      <vt:lpstr>billingStationDeptNameKana</vt:lpstr>
      <vt:lpstr>billingStationPerson</vt:lpstr>
      <vt:lpstr>billingStationPersonKana</vt:lpstr>
      <vt:lpstr>billingStationPhoneNumber</vt:lpstr>
      <vt:lpstr>billingStationPlan</vt:lpstr>
      <vt:lpstr>billingStationUseDataByNumber</vt:lpstr>
      <vt:lpstr>comment</vt:lpstr>
      <vt:lpstr>companycode001</vt:lpstr>
      <vt:lpstr>companycode002</vt:lpstr>
      <vt:lpstr>companycode003</vt:lpstr>
      <vt:lpstr>companycode004</vt:lpstr>
      <vt:lpstr>companycode005</vt:lpstr>
      <vt:lpstr>companycode006</vt:lpstr>
      <vt:lpstr>companycode007</vt:lpstr>
      <vt:lpstr>companycode008</vt:lpstr>
      <vt:lpstr>companycode009</vt:lpstr>
      <vt:lpstr>companycode010</vt:lpstr>
      <vt:lpstr>companycode011</vt:lpstr>
      <vt:lpstr>companycode012</vt:lpstr>
      <vt:lpstr>companycode013</vt:lpstr>
      <vt:lpstr>companycode014</vt:lpstr>
      <vt:lpstr>companycode015</vt:lpstr>
      <vt:lpstr>companycode016</vt:lpstr>
      <vt:lpstr>companycode017</vt:lpstr>
      <vt:lpstr>companycode018</vt:lpstr>
      <vt:lpstr>companycode019</vt:lpstr>
      <vt:lpstr>companycode020</vt:lpstr>
      <vt:lpstr>companycode021</vt:lpstr>
      <vt:lpstr>companycode022</vt:lpstr>
      <vt:lpstr>companycode023</vt:lpstr>
      <vt:lpstr>companycode024</vt:lpstr>
      <vt:lpstr>companycode025</vt:lpstr>
      <vt:lpstr>companycode026</vt:lpstr>
      <vt:lpstr>companycode027</vt:lpstr>
      <vt:lpstr>companycode028</vt:lpstr>
      <vt:lpstr>companycode029</vt:lpstr>
      <vt:lpstr>companycode030</vt:lpstr>
      <vt:lpstr>companycode031</vt:lpstr>
      <vt:lpstr>companycode032</vt:lpstr>
      <vt:lpstr>companycode033</vt:lpstr>
      <vt:lpstr>companycode034</vt:lpstr>
      <vt:lpstr>companycode035</vt:lpstr>
      <vt:lpstr>companycode036</vt:lpstr>
      <vt:lpstr>companycode037</vt:lpstr>
      <vt:lpstr>companycode038</vt:lpstr>
      <vt:lpstr>companycode039</vt:lpstr>
      <vt:lpstr>companycode040</vt:lpstr>
      <vt:lpstr>companycode041</vt:lpstr>
      <vt:lpstr>companycode042</vt:lpstr>
      <vt:lpstr>companycode043</vt:lpstr>
      <vt:lpstr>companycode044</vt:lpstr>
      <vt:lpstr>companycode045</vt:lpstr>
      <vt:lpstr>companycode046</vt:lpstr>
      <vt:lpstr>companycode047</vt:lpstr>
      <vt:lpstr>companycode048</vt:lpstr>
      <vt:lpstr>companycode049</vt:lpstr>
      <vt:lpstr>companycode050</vt:lpstr>
      <vt:lpstr>companycode051</vt:lpstr>
      <vt:lpstr>companycode052</vt:lpstr>
      <vt:lpstr>companycode053</vt:lpstr>
      <vt:lpstr>companycode054</vt:lpstr>
      <vt:lpstr>companycode055</vt:lpstr>
      <vt:lpstr>companycode056</vt:lpstr>
      <vt:lpstr>companycode057</vt:lpstr>
      <vt:lpstr>companycode058</vt:lpstr>
      <vt:lpstr>companycode059</vt:lpstr>
      <vt:lpstr>companycode060</vt:lpstr>
      <vt:lpstr>companycode061</vt:lpstr>
      <vt:lpstr>companycode062</vt:lpstr>
      <vt:lpstr>companycode063</vt:lpstr>
      <vt:lpstr>companycode064</vt:lpstr>
      <vt:lpstr>companycode065</vt:lpstr>
      <vt:lpstr>companycode066</vt:lpstr>
      <vt:lpstr>companycode067</vt:lpstr>
      <vt:lpstr>companycode068</vt:lpstr>
      <vt:lpstr>companycode069</vt:lpstr>
      <vt:lpstr>companycode070</vt:lpstr>
      <vt:lpstr>companycode071</vt:lpstr>
      <vt:lpstr>companycode072</vt:lpstr>
      <vt:lpstr>companycode073</vt:lpstr>
      <vt:lpstr>companycode074</vt:lpstr>
      <vt:lpstr>companycode075</vt:lpstr>
      <vt:lpstr>companycode076</vt:lpstr>
      <vt:lpstr>companycode077</vt:lpstr>
      <vt:lpstr>companycode078</vt:lpstr>
      <vt:lpstr>companycode079</vt:lpstr>
      <vt:lpstr>companycode080</vt:lpstr>
      <vt:lpstr>companycode081</vt:lpstr>
      <vt:lpstr>companycode082</vt:lpstr>
      <vt:lpstr>companycode083</vt:lpstr>
      <vt:lpstr>companycode084</vt:lpstr>
      <vt:lpstr>companycode085</vt:lpstr>
      <vt:lpstr>companycode086</vt:lpstr>
      <vt:lpstr>companycode087</vt:lpstr>
      <vt:lpstr>companycode088</vt:lpstr>
      <vt:lpstr>companycode089</vt:lpstr>
      <vt:lpstr>companycode090</vt:lpstr>
      <vt:lpstr>companycode091</vt:lpstr>
      <vt:lpstr>companycode092</vt:lpstr>
      <vt:lpstr>companycode093</vt:lpstr>
      <vt:lpstr>companycode094</vt:lpstr>
      <vt:lpstr>companycode095</vt:lpstr>
      <vt:lpstr>companycode096</vt:lpstr>
      <vt:lpstr>companycode097</vt:lpstr>
      <vt:lpstr>companycode098</vt:lpstr>
      <vt:lpstr>companycode099</vt:lpstr>
      <vt:lpstr>companycode100</vt:lpstr>
      <vt:lpstr>companycode101</vt:lpstr>
      <vt:lpstr>companycode102</vt:lpstr>
      <vt:lpstr>companycode103</vt:lpstr>
      <vt:lpstr>companycode104</vt:lpstr>
      <vt:lpstr>companycode105</vt:lpstr>
      <vt:lpstr>companycode106</vt:lpstr>
      <vt:lpstr>companycode107</vt:lpstr>
      <vt:lpstr>companycode108</vt:lpstr>
      <vt:lpstr>companycode109</vt:lpstr>
      <vt:lpstr>companycode110</vt:lpstr>
      <vt:lpstr>companycode111</vt:lpstr>
      <vt:lpstr>companycode112</vt:lpstr>
      <vt:lpstr>companycode113</vt:lpstr>
      <vt:lpstr>companycode114</vt:lpstr>
      <vt:lpstr>companycode115</vt:lpstr>
      <vt:lpstr>companycode116</vt:lpstr>
      <vt:lpstr>companycode117</vt:lpstr>
      <vt:lpstr>companycode118</vt:lpstr>
      <vt:lpstr>companycode119</vt:lpstr>
      <vt:lpstr>companycode120</vt:lpstr>
      <vt:lpstr>companycode121</vt:lpstr>
      <vt:lpstr>companycode122</vt:lpstr>
      <vt:lpstr>companycode123</vt:lpstr>
      <vt:lpstr>companycode124</vt:lpstr>
      <vt:lpstr>companycode125</vt:lpstr>
      <vt:lpstr>companycode126</vt:lpstr>
      <vt:lpstr>companycode127</vt:lpstr>
      <vt:lpstr>companycode128</vt:lpstr>
      <vt:lpstr>companycode129</vt:lpstr>
      <vt:lpstr>companycode130</vt:lpstr>
      <vt:lpstr>companycode131</vt:lpstr>
      <vt:lpstr>companycode132</vt:lpstr>
      <vt:lpstr>companycode133</vt:lpstr>
      <vt:lpstr>companycode134</vt:lpstr>
      <vt:lpstr>companycode135</vt:lpstr>
      <vt:lpstr>companycode136</vt:lpstr>
      <vt:lpstr>companycode137</vt:lpstr>
      <vt:lpstr>companycode138</vt:lpstr>
      <vt:lpstr>companycode139</vt:lpstr>
      <vt:lpstr>companycode140</vt:lpstr>
      <vt:lpstr>companycode141</vt:lpstr>
      <vt:lpstr>companycode142</vt:lpstr>
      <vt:lpstr>companycode143</vt:lpstr>
      <vt:lpstr>companycode144</vt:lpstr>
      <vt:lpstr>companycode145</vt:lpstr>
      <vt:lpstr>companycode146</vt:lpstr>
      <vt:lpstr>companycode147</vt:lpstr>
      <vt:lpstr>companycode148</vt:lpstr>
      <vt:lpstr>companycode149</vt:lpstr>
      <vt:lpstr>companycode150</vt:lpstr>
      <vt:lpstr>companycode151</vt:lpstr>
      <vt:lpstr>companycode152</vt:lpstr>
      <vt:lpstr>companycode153</vt:lpstr>
      <vt:lpstr>companycode154</vt:lpstr>
      <vt:lpstr>companycode155</vt:lpstr>
      <vt:lpstr>companycode156</vt:lpstr>
      <vt:lpstr>companycode157</vt:lpstr>
      <vt:lpstr>companycode158</vt:lpstr>
      <vt:lpstr>companycode159</vt:lpstr>
      <vt:lpstr>companycode160</vt:lpstr>
      <vt:lpstr>companycode161</vt:lpstr>
      <vt:lpstr>companycode162</vt:lpstr>
      <vt:lpstr>companycode163</vt:lpstr>
      <vt:lpstr>companycode164</vt:lpstr>
      <vt:lpstr>companycode165</vt:lpstr>
      <vt:lpstr>companycode166</vt:lpstr>
      <vt:lpstr>companycode167</vt:lpstr>
      <vt:lpstr>companycode168</vt:lpstr>
      <vt:lpstr>companycode169</vt:lpstr>
      <vt:lpstr>companycode170</vt:lpstr>
      <vt:lpstr>companycode171</vt:lpstr>
      <vt:lpstr>companycode172</vt:lpstr>
      <vt:lpstr>companycode173</vt:lpstr>
      <vt:lpstr>companycode174</vt:lpstr>
      <vt:lpstr>companycode175</vt:lpstr>
      <vt:lpstr>companycode176</vt:lpstr>
      <vt:lpstr>companycode177</vt:lpstr>
      <vt:lpstr>companycode178</vt:lpstr>
      <vt:lpstr>companycode179</vt:lpstr>
      <vt:lpstr>companycode180</vt:lpstr>
      <vt:lpstr>companycode181</vt:lpstr>
      <vt:lpstr>companycode182</vt:lpstr>
      <vt:lpstr>companycode183</vt:lpstr>
      <vt:lpstr>companycode184</vt:lpstr>
      <vt:lpstr>companycode185</vt:lpstr>
      <vt:lpstr>companycode186</vt:lpstr>
      <vt:lpstr>companycode187</vt:lpstr>
      <vt:lpstr>companycode188</vt:lpstr>
      <vt:lpstr>companycode189</vt:lpstr>
      <vt:lpstr>companycode190</vt:lpstr>
      <vt:lpstr>companycode191</vt:lpstr>
      <vt:lpstr>companycode192</vt:lpstr>
      <vt:lpstr>companycode193</vt:lpstr>
      <vt:lpstr>companycode194</vt:lpstr>
      <vt:lpstr>companycode195</vt:lpstr>
      <vt:lpstr>companycode196</vt:lpstr>
      <vt:lpstr>companycode197</vt:lpstr>
      <vt:lpstr>companycode198</vt:lpstr>
      <vt:lpstr>companycode199</vt:lpstr>
      <vt:lpstr>companycode200</vt:lpstr>
      <vt:lpstr>companycode201</vt:lpstr>
      <vt:lpstr>companycode202</vt:lpstr>
      <vt:lpstr>companycode203</vt:lpstr>
      <vt:lpstr>companycode204</vt:lpstr>
      <vt:lpstr>companycode205</vt:lpstr>
      <vt:lpstr>companycode206</vt:lpstr>
      <vt:lpstr>companycode207</vt:lpstr>
      <vt:lpstr>companycode208</vt:lpstr>
      <vt:lpstr>companycode209</vt:lpstr>
      <vt:lpstr>companycode210</vt:lpstr>
      <vt:lpstr>companycode211</vt:lpstr>
      <vt:lpstr>companycode212</vt:lpstr>
      <vt:lpstr>companycode213</vt:lpstr>
      <vt:lpstr>companycode214</vt:lpstr>
      <vt:lpstr>companycode215</vt:lpstr>
      <vt:lpstr>companycode216</vt:lpstr>
      <vt:lpstr>companycode217</vt:lpstr>
      <vt:lpstr>companycode218</vt:lpstr>
      <vt:lpstr>companycode219</vt:lpstr>
      <vt:lpstr>companycode220</vt:lpstr>
      <vt:lpstr>companycode221</vt:lpstr>
      <vt:lpstr>companycode222</vt:lpstr>
      <vt:lpstr>companycode223</vt:lpstr>
      <vt:lpstr>companycode224</vt:lpstr>
      <vt:lpstr>companycode225</vt:lpstr>
      <vt:lpstr>companycode226</vt:lpstr>
      <vt:lpstr>companycode227</vt:lpstr>
      <vt:lpstr>companycode228</vt:lpstr>
      <vt:lpstr>companycode229</vt:lpstr>
      <vt:lpstr>companycode230</vt:lpstr>
      <vt:lpstr>companycode231</vt:lpstr>
      <vt:lpstr>companycode232</vt:lpstr>
      <vt:lpstr>companycode233</vt:lpstr>
      <vt:lpstr>companycode234</vt:lpstr>
      <vt:lpstr>companycode235</vt:lpstr>
      <vt:lpstr>companycode236</vt:lpstr>
      <vt:lpstr>companycode237</vt:lpstr>
      <vt:lpstr>companycode238</vt:lpstr>
      <vt:lpstr>companycode239</vt:lpstr>
      <vt:lpstr>companycode240</vt:lpstr>
      <vt:lpstr>companycode241</vt:lpstr>
      <vt:lpstr>companycode242</vt:lpstr>
      <vt:lpstr>companycode243</vt:lpstr>
      <vt:lpstr>companycode244</vt:lpstr>
      <vt:lpstr>companycode245</vt:lpstr>
      <vt:lpstr>companycode246</vt:lpstr>
      <vt:lpstr>companycode247</vt:lpstr>
      <vt:lpstr>companycode248</vt:lpstr>
      <vt:lpstr>companycode249</vt:lpstr>
      <vt:lpstr>companycode250</vt:lpstr>
      <vt:lpstr>companycode251</vt:lpstr>
      <vt:lpstr>companycode252</vt:lpstr>
      <vt:lpstr>companycode253</vt:lpstr>
      <vt:lpstr>companycode254</vt:lpstr>
      <vt:lpstr>companycode255</vt:lpstr>
      <vt:lpstr>companycode256</vt:lpstr>
      <vt:lpstr>companycode257</vt:lpstr>
      <vt:lpstr>companycode258</vt:lpstr>
      <vt:lpstr>companycode259</vt:lpstr>
      <vt:lpstr>companycode260</vt:lpstr>
      <vt:lpstr>companycode261</vt:lpstr>
      <vt:lpstr>companycode262</vt:lpstr>
      <vt:lpstr>companycode263</vt:lpstr>
      <vt:lpstr>companycode264</vt:lpstr>
      <vt:lpstr>companycode265</vt:lpstr>
      <vt:lpstr>companycode266</vt:lpstr>
      <vt:lpstr>companycode267</vt:lpstr>
      <vt:lpstr>companycode268</vt:lpstr>
      <vt:lpstr>companycode269</vt:lpstr>
      <vt:lpstr>companycode270</vt:lpstr>
      <vt:lpstr>companycode271</vt:lpstr>
      <vt:lpstr>companycode272</vt:lpstr>
      <vt:lpstr>companycode273</vt:lpstr>
      <vt:lpstr>companycode274</vt:lpstr>
      <vt:lpstr>companycode275</vt:lpstr>
      <vt:lpstr>companycode276</vt:lpstr>
      <vt:lpstr>companycode277</vt:lpstr>
      <vt:lpstr>companycode278</vt:lpstr>
      <vt:lpstr>companycode279</vt:lpstr>
      <vt:lpstr>companycode280</vt:lpstr>
      <vt:lpstr>companycode281</vt:lpstr>
      <vt:lpstr>companycode282</vt:lpstr>
      <vt:lpstr>companycode283</vt:lpstr>
      <vt:lpstr>companycode284</vt:lpstr>
      <vt:lpstr>companycode285</vt:lpstr>
      <vt:lpstr>companycode286</vt:lpstr>
      <vt:lpstr>companycode287</vt:lpstr>
      <vt:lpstr>companycode288</vt:lpstr>
      <vt:lpstr>companycode289</vt:lpstr>
      <vt:lpstr>companycode290</vt:lpstr>
      <vt:lpstr>companycode291</vt:lpstr>
      <vt:lpstr>companycode292</vt:lpstr>
      <vt:lpstr>companycode293</vt:lpstr>
      <vt:lpstr>companycode294</vt:lpstr>
      <vt:lpstr>companycode295</vt:lpstr>
      <vt:lpstr>companycode296</vt:lpstr>
      <vt:lpstr>companycode297</vt:lpstr>
      <vt:lpstr>companycode298</vt:lpstr>
      <vt:lpstr>companycode299</vt:lpstr>
      <vt:lpstr>companycode300</vt:lpstr>
      <vt:lpstr>companycode301</vt:lpstr>
      <vt:lpstr>companycode302</vt:lpstr>
      <vt:lpstr>companycode303</vt:lpstr>
      <vt:lpstr>companycode304</vt:lpstr>
      <vt:lpstr>companycode305</vt:lpstr>
      <vt:lpstr>companycode306</vt:lpstr>
      <vt:lpstr>companycode307</vt:lpstr>
      <vt:lpstr>companycode308</vt:lpstr>
      <vt:lpstr>companycode309</vt:lpstr>
      <vt:lpstr>companycode310</vt:lpstr>
      <vt:lpstr>companycode311</vt:lpstr>
      <vt:lpstr>companycode312</vt:lpstr>
      <vt:lpstr>companycode313</vt:lpstr>
      <vt:lpstr>companycode314</vt:lpstr>
      <vt:lpstr>companycode315</vt:lpstr>
      <vt:lpstr>companycode316</vt:lpstr>
      <vt:lpstr>companycode317</vt:lpstr>
      <vt:lpstr>companycode318</vt:lpstr>
      <vt:lpstr>companycode319</vt:lpstr>
      <vt:lpstr>companycode320</vt:lpstr>
      <vt:lpstr>companycode321</vt:lpstr>
      <vt:lpstr>companycode322</vt:lpstr>
      <vt:lpstr>companycode323</vt:lpstr>
      <vt:lpstr>companycode324</vt:lpstr>
      <vt:lpstr>companycode325</vt:lpstr>
      <vt:lpstr>companycode326</vt:lpstr>
      <vt:lpstr>companycode327</vt:lpstr>
      <vt:lpstr>companycode328</vt:lpstr>
      <vt:lpstr>companycode329</vt:lpstr>
      <vt:lpstr>companycode330</vt:lpstr>
      <vt:lpstr>companycode331</vt:lpstr>
      <vt:lpstr>companycode332</vt:lpstr>
      <vt:lpstr>companycode333</vt:lpstr>
      <vt:lpstr>companycode334</vt:lpstr>
      <vt:lpstr>companycode335</vt:lpstr>
      <vt:lpstr>companycode336</vt:lpstr>
      <vt:lpstr>companycode337</vt:lpstr>
      <vt:lpstr>companycode338</vt:lpstr>
      <vt:lpstr>companycode339</vt:lpstr>
      <vt:lpstr>companycode340</vt:lpstr>
      <vt:lpstr>companycode341</vt:lpstr>
      <vt:lpstr>companycode342</vt:lpstr>
      <vt:lpstr>companycode343</vt:lpstr>
      <vt:lpstr>companycode344</vt:lpstr>
      <vt:lpstr>companycode345</vt:lpstr>
      <vt:lpstr>companycode346</vt:lpstr>
      <vt:lpstr>companycode347</vt:lpstr>
      <vt:lpstr>companycode348</vt:lpstr>
      <vt:lpstr>companycode349</vt:lpstr>
      <vt:lpstr>companycode350</vt:lpstr>
      <vt:lpstr>companycode351</vt:lpstr>
      <vt:lpstr>companycode352</vt:lpstr>
      <vt:lpstr>companycode353</vt:lpstr>
      <vt:lpstr>companycode354</vt:lpstr>
      <vt:lpstr>companycode355</vt:lpstr>
      <vt:lpstr>companycode356</vt:lpstr>
      <vt:lpstr>companycode357</vt:lpstr>
      <vt:lpstr>companycode358</vt:lpstr>
      <vt:lpstr>companycode359</vt:lpstr>
      <vt:lpstr>companycode360</vt:lpstr>
      <vt:lpstr>companycode361</vt:lpstr>
      <vt:lpstr>companycode362</vt:lpstr>
      <vt:lpstr>companycode363</vt:lpstr>
      <vt:lpstr>companycode364</vt:lpstr>
      <vt:lpstr>companycode365</vt:lpstr>
      <vt:lpstr>companycode366</vt:lpstr>
      <vt:lpstr>companycode367</vt:lpstr>
      <vt:lpstr>companycode368</vt:lpstr>
      <vt:lpstr>companycode369</vt:lpstr>
      <vt:lpstr>companycode370</vt:lpstr>
      <vt:lpstr>companycode371</vt:lpstr>
      <vt:lpstr>companycode372</vt:lpstr>
      <vt:lpstr>companycode373</vt:lpstr>
      <vt:lpstr>companycode374</vt:lpstr>
      <vt:lpstr>companycode375</vt:lpstr>
      <vt:lpstr>companycode376</vt:lpstr>
      <vt:lpstr>companycode377</vt:lpstr>
      <vt:lpstr>companycode378</vt:lpstr>
      <vt:lpstr>companycode379</vt:lpstr>
      <vt:lpstr>companycode380</vt:lpstr>
      <vt:lpstr>companycode381</vt:lpstr>
      <vt:lpstr>companycode382</vt:lpstr>
      <vt:lpstr>companycode383</vt:lpstr>
      <vt:lpstr>companycode384</vt:lpstr>
      <vt:lpstr>companycode385</vt:lpstr>
      <vt:lpstr>companycode386</vt:lpstr>
      <vt:lpstr>companycode387</vt:lpstr>
      <vt:lpstr>companycode388</vt:lpstr>
      <vt:lpstr>companycode389</vt:lpstr>
      <vt:lpstr>companycode390</vt:lpstr>
      <vt:lpstr>companycode391</vt:lpstr>
      <vt:lpstr>companycode392</vt:lpstr>
      <vt:lpstr>companycode393</vt:lpstr>
      <vt:lpstr>companycode394</vt:lpstr>
      <vt:lpstr>companycode395</vt:lpstr>
      <vt:lpstr>companycode396</vt:lpstr>
      <vt:lpstr>companycode397</vt:lpstr>
      <vt:lpstr>companycode398</vt:lpstr>
      <vt:lpstr>companycode399</vt:lpstr>
      <vt:lpstr>companycode400</vt:lpstr>
      <vt:lpstr>companycode401</vt:lpstr>
      <vt:lpstr>companycode402</vt:lpstr>
      <vt:lpstr>companycode403</vt:lpstr>
      <vt:lpstr>companycode404</vt:lpstr>
      <vt:lpstr>companycode405</vt:lpstr>
      <vt:lpstr>companycode406</vt:lpstr>
      <vt:lpstr>companycode407</vt:lpstr>
      <vt:lpstr>companycode408</vt:lpstr>
      <vt:lpstr>companycode409</vt:lpstr>
      <vt:lpstr>companycode410</vt:lpstr>
      <vt:lpstr>companycode411</vt:lpstr>
      <vt:lpstr>companycode412</vt:lpstr>
      <vt:lpstr>companycode413</vt:lpstr>
      <vt:lpstr>companycode414</vt:lpstr>
      <vt:lpstr>companycode415</vt:lpstr>
      <vt:lpstr>companycode416</vt:lpstr>
      <vt:lpstr>companycode417</vt:lpstr>
      <vt:lpstr>companycode418</vt:lpstr>
      <vt:lpstr>companycode419</vt:lpstr>
      <vt:lpstr>companycode420</vt:lpstr>
      <vt:lpstr>companycode421</vt:lpstr>
      <vt:lpstr>companycode422</vt:lpstr>
      <vt:lpstr>companycode423</vt:lpstr>
      <vt:lpstr>companycode424</vt:lpstr>
      <vt:lpstr>companycode425</vt:lpstr>
      <vt:lpstr>companycode426</vt:lpstr>
      <vt:lpstr>companycode427</vt:lpstr>
      <vt:lpstr>companycode428</vt:lpstr>
      <vt:lpstr>companycode429</vt:lpstr>
      <vt:lpstr>companycode430</vt:lpstr>
      <vt:lpstr>companycode431</vt:lpstr>
      <vt:lpstr>companycode432</vt:lpstr>
      <vt:lpstr>companycode433</vt:lpstr>
      <vt:lpstr>companycode434</vt:lpstr>
      <vt:lpstr>companycode435</vt:lpstr>
      <vt:lpstr>companycode436</vt:lpstr>
      <vt:lpstr>companycode437</vt:lpstr>
      <vt:lpstr>companycode438</vt:lpstr>
      <vt:lpstr>companycode439</vt:lpstr>
      <vt:lpstr>companycode440</vt:lpstr>
      <vt:lpstr>companycode441</vt:lpstr>
      <vt:lpstr>companycode442</vt:lpstr>
      <vt:lpstr>companycode443</vt:lpstr>
      <vt:lpstr>companycode444</vt:lpstr>
      <vt:lpstr>companycode445</vt:lpstr>
      <vt:lpstr>companycode446</vt:lpstr>
      <vt:lpstr>companycode447</vt:lpstr>
      <vt:lpstr>companycode448</vt:lpstr>
      <vt:lpstr>companycode449</vt:lpstr>
      <vt:lpstr>companycode450</vt:lpstr>
      <vt:lpstr>companycode451</vt:lpstr>
      <vt:lpstr>companycode452</vt:lpstr>
      <vt:lpstr>companycode453</vt:lpstr>
      <vt:lpstr>companycode454</vt:lpstr>
      <vt:lpstr>companycode455</vt:lpstr>
      <vt:lpstr>companycode456</vt:lpstr>
      <vt:lpstr>companycode457</vt:lpstr>
      <vt:lpstr>companycode458</vt:lpstr>
      <vt:lpstr>companycode459</vt:lpstr>
      <vt:lpstr>companycode460</vt:lpstr>
      <vt:lpstr>companycode461</vt:lpstr>
      <vt:lpstr>companycode462</vt:lpstr>
      <vt:lpstr>companycode463</vt:lpstr>
      <vt:lpstr>companycode464</vt:lpstr>
      <vt:lpstr>companycode465</vt:lpstr>
      <vt:lpstr>companycode466</vt:lpstr>
      <vt:lpstr>companycode467</vt:lpstr>
      <vt:lpstr>companycode468</vt:lpstr>
      <vt:lpstr>companycode469</vt:lpstr>
      <vt:lpstr>companycode470</vt:lpstr>
      <vt:lpstr>companycode471</vt:lpstr>
      <vt:lpstr>companycode472</vt:lpstr>
      <vt:lpstr>companycode473</vt:lpstr>
      <vt:lpstr>companycode474</vt:lpstr>
      <vt:lpstr>companycode475</vt:lpstr>
      <vt:lpstr>companycode476</vt:lpstr>
      <vt:lpstr>companycode477</vt:lpstr>
      <vt:lpstr>companycode478</vt:lpstr>
      <vt:lpstr>companycode479</vt:lpstr>
      <vt:lpstr>companycode480</vt:lpstr>
      <vt:lpstr>companycode481</vt:lpstr>
      <vt:lpstr>companycode482</vt:lpstr>
      <vt:lpstr>companycode483</vt:lpstr>
      <vt:lpstr>companycode484</vt:lpstr>
      <vt:lpstr>companycode485</vt:lpstr>
      <vt:lpstr>companycode486</vt:lpstr>
      <vt:lpstr>companycode487</vt:lpstr>
      <vt:lpstr>companycode488</vt:lpstr>
      <vt:lpstr>companycode489</vt:lpstr>
      <vt:lpstr>companycode490</vt:lpstr>
      <vt:lpstr>companycode491</vt:lpstr>
      <vt:lpstr>companycode492</vt:lpstr>
      <vt:lpstr>companycode493</vt:lpstr>
      <vt:lpstr>companycode494</vt:lpstr>
      <vt:lpstr>companycode495</vt:lpstr>
      <vt:lpstr>companycode496</vt:lpstr>
      <vt:lpstr>companycode497</vt:lpstr>
      <vt:lpstr>companycode498</vt:lpstr>
      <vt:lpstr>companycode499</vt:lpstr>
      <vt:lpstr>companycode500</vt:lpstr>
      <vt:lpstr>companyyn001</vt:lpstr>
      <vt:lpstr>companyyn002</vt:lpstr>
      <vt:lpstr>companyyn003</vt:lpstr>
      <vt:lpstr>companyyn004</vt:lpstr>
      <vt:lpstr>companyyn005</vt:lpstr>
      <vt:lpstr>companyyn006</vt:lpstr>
      <vt:lpstr>companyyn007</vt:lpstr>
      <vt:lpstr>companyyn008</vt:lpstr>
      <vt:lpstr>companyyn009</vt:lpstr>
      <vt:lpstr>companyyn010</vt:lpstr>
      <vt:lpstr>companyyn011</vt:lpstr>
      <vt:lpstr>companyyn012</vt:lpstr>
      <vt:lpstr>companyyn013</vt:lpstr>
      <vt:lpstr>companyyn014</vt:lpstr>
      <vt:lpstr>companyyn015</vt:lpstr>
      <vt:lpstr>companyyn016</vt:lpstr>
      <vt:lpstr>companyyn017</vt:lpstr>
      <vt:lpstr>companyyn018</vt:lpstr>
      <vt:lpstr>companyyn019</vt:lpstr>
      <vt:lpstr>companyyn020</vt:lpstr>
      <vt:lpstr>companyyn021</vt:lpstr>
      <vt:lpstr>companyyn022</vt:lpstr>
      <vt:lpstr>companyyn023</vt:lpstr>
      <vt:lpstr>companyyn024</vt:lpstr>
      <vt:lpstr>companyyn025</vt:lpstr>
      <vt:lpstr>companyyn026</vt:lpstr>
      <vt:lpstr>companyyn027</vt:lpstr>
      <vt:lpstr>companyyn028</vt:lpstr>
      <vt:lpstr>companyyn029</vt:lpstr>
      <vt:lpstr>companyyn030</vt:lpstr>
      <vt:lpstr>companyyn031</vt:lpstr>
      <vt:lpstr>companyyn032</vt:lpstr>
      <vt:lpstr>companyyn033</vt:lpstr>
      <vt:lpstr>companyyn034</vt:lpstr>
      <vt:lpstr>companyyn035</vt:lpstr>
      <vt:lpstr>companyyn036</vt:lpstr>
      <vt:lpstr>companyyn037</vt:lpstr>
      <vt:lpstr>companyyn038</vt:lpstr>
      <vt:lpstr>companyyn039</vt:lpstr>
      <vt:lpstr>companyyn040</vt:lpstr>
      <vt:lpstr>companyyn041</vt:lpstr>
      <vt:lpstr>companyyn042</vt:lpstr>
      <vt:lpstr>companyyn043</vt:lpstr>
      <vt:lpstr>companyyn044</vt:lpstr>
      <vt:lpstr>companyyn045</vt:lpstr>
      <vt:lpstr>companyyn046</vt:lpstr>
      <vt:lpstr>companyyn047</vt:lpstr>
      <vt:lpstr>companyyn048</vt:lpstr>
      <vt:lpstr>companyyn049</vt:lpstr>
      <vt:lpstr>companyyn050</vt:lpstr>
      <vt:lpstr>companyyn051</vt:lpstr>
      <vt:lpstr>companyyn052</vt:lpstr>
      <vt:lpstr>companyyn053</vt:lpstr>
      <vt:lpstr>companyyn054</vt:lpstr>
      <vt:lpstr>companyyn055</vt:lpstr>
      <vt:lpstr>companyyn056</vt:lpstr>
      <vt:lpstr>companyyn057</vt:lpstr>
      <vt:lpstr>companyyn058</vt:lpstr>
      <vt:lpstr>companyyn059</vt:lpstr>
      <vt:lpstr>companyyn060</vt:lpstr>
      <vt:lpstr>companyyn061</vt:lpstr>
      <vt:lpstr>companyyn062</vt:lpstr>
      <vt:lpstr>companyyn063</vt:lpstr>
      <vt:lpstr>companyyn064</vt:lpstr>
      <vt:lpstr>companyyn065</vt:lpstr>
      <vt:lpstr>companyyn066</vt:lpstr>
      <vt:lpstr>companyyn067</vt:lpstr>
      <vt:lpstr>companyyn068</vt:lpstr>
      <vt:lpstr>companyyn069</vt:lpstr>
      <vt:lpstr>companyyn070</vt:lpstr>
      <vt:lpstr>companyyn071</vt:lpstr>
      <vt:lpstr>companyyn072</vt:lpstr>
      <vt:lpstr>companyyn073</vt:lpstr>
      <vt:lpstr>companyyn074</vt:lpstr>
      <vt:lpstr>companyyn075</vt:lpstr>
      <vt:lpstr>companyyn076</vt:lpstr>
      <vt:lpstr>companyyn077</vt:lpstr>
      <vt:lpstr>companyyn078</vt:lpstr>
      <vt:lpstr>companyyn079</vt:lpstr>
      <vt:lpstr>companyyn080</vt:lpstr>
      <vt:lpstr>companyyn081</vt:lpstr>
      <vt:lpstr>companyyn082</vt:lpstr>
      <vt:lpstr>companyyn083</vt:lpstr>
      <vt:lpstr>companyyn084</vt:lpstr>
      <vt:lpstr>companyyn085</vt:lpstr>
      <vt:lpstr>companyyn086</vt:lpstr>
      <vt:lpstr>companyyn087</vt:lpstr>
      <vt:lpstr>companyyn088</vt:lpstr>
      <vt:lpstr>companyyn089</vt:lpstr>
      <vt:lpstr>companyyn090</vt:lpstr>
      <vt:lpstr>companyyn091</vt:lpstr>
      <vt:lpstr>companyyn092</vt:lpstr>
      <vt:lpstr>companyyn093</vt:lpstr>
      <vt:lpstr>companyyn094</vt:lpstr>
      <vt:lpstr>companyyn095</vt:lpstr>
      <vt:lpstr>companyyn096</vt:lpstr>
      <vt:lpstr>companyyn097</vt:lpstr>
      <vt:lpstr>companyyn098</vt:lpstr>
      <vt:lpstr>companyyn099</vt:lpstr>
      <vt:lpstr>companyyn100</vt:lpstr>
      <vt:lpstr>companyyn101</vt:lpstr>
      <vt:lpstr>companyyn102</vt:lpstr>
      <vt:lpstr>companyyn103</vt:lpstr>
      <vt:lpstr>companyyn104</vt:lpstr>
      <vt:lpstr>companyyn105</vt:lpstr>
      <vt:lpstr>companyyn106</vt:lpstr>
      <vt:lpstr>companyyn107</vt:lpstr>
      <vt:lpstr>companyyn108</vt:lpstr>
      <vt:lpstr>companyyn109</vt:lpstr>
      <vt:lpstr>companyyn110</vt:lpstr>
      <vt:lpstr>companyyn111</vt:lpstr>
      <vt:lpstr>companyyn112</vt:lpstr>
      <vt:lpstr>companyyn113</vt:lpstr>
      <vt:lpstr>companyyn114</vt:lpstr>
      <vt:lpstr>companyyn115</vt:lpstr>
      <vt:lpstr>companyyn116</vt:lpstr>
      <vt:lpstr>companyyn117</vt:lpstr>
      <vt:lpstr>companyyn118</vt:lpstr>
      <vt:lpstr>companyyn119</vt:lpstr>
      <vt:lpstr>companyyn120</vt:lpstr>
      <vt:lpstr>companyyn121</vt:lpstr>
      <vt:lpstr>companyyn122</vt:lpstr>
      <vt:lpstr>companyyn123</vt:lpstr>
      <vt:lpstr>companyyn124</vt:lpstr>
      <vt:lpstr>companyyn125</vt:lpstr>
      <vt:lpstr>companyyn126</vt:lpstr>
      <vt:lpstr>companyyn127</vt:lpstr>
      <vt:lpstr>companyyn128</vt:lpstr>
      <vt:lpstr>companyyn129</vt:lpstr>
      <vt:lpstr>companyyn130</vt:lpstr>
      <vt:lpstr>companyyn131</vt:lpstr>
      <vt:lpstr>companyyn132</vt:lpstr>
      <vt:lpstr>companyyn133</vt:lpstr>
      <vt:lpstr>companyyn134</vt:lpstr>
      <vt:lpstr>companyyn135</vt:lpstr>
      <vt:lpstr>companyyn136</vt:lpstr>
      <vt:lpstr>companyyn137</vt:lpstr>
      <vt:lpstr>companyyn138</vt:lpstr>
      <vt:lpstr>companyyn139</vt:lpstr>
      <vt:lpstr>companyyn140</vt:lpstr>
      <vt:lpstr>companyyn141</vt:lpstr>
      <vt:lpstr>companyyn142</vt:lpstr>
      <vt:lpstr>companyyn143</vt:lpstr>
      <vt:lpstr>companyyn144</vt:lpstr>
      <vt:lpstr>companyyn145</vt:lpstr>
      <vt:lpstr>companyyn146</vt:lpstr>
      <vt:lpstr>companyyn147</vt:lpstr>
      <vt:lpstr>companyyn148</vt:lpstr>
      <vt:lpstr>companyyn149</vt:lpstr>
      <vt:lpstr>companyyn150</vt:lpstr>
      <vt:lpstr>companyyn151</vt:lpstr>
      <vt:lpstr>companyyn152</vt:lpstr>
      <vt:lpstr>companyyn153</vt:lpstr>
      <vt:lpstr>companyyn154</vt:lpstr>
      <vt:lpstr>companyyn155</vt:lpstr>
      <vt:lpstr>companyyn156</vt:lpstr>
      <vt:lpstr>companyyn157</vt:lpstr>
      <vt:lpstr>companyyn158</vt:lpstr>
      <vt:lpstr>companyyn159</vt:lpstr>
      <vt:lpstr>companyyn160</vt:lpstr>
      <vt:lpstr>companyyn161</vt:lpstr>
      <vt:lpstr>companyyn162</vt:lpstr>
      <vt:lpstr>companyyn163</vt:lpstr>
      <vt:lpstr>companyyn164</vt:lpstr>
      <vt:lpstr>companyyn165</vt:lpstr>
      <vt:lpstr>companyyn166</vt:lpstr>
      <vt:lpstr>companyyn167</vt:lpstr>
      <vt:lpstr>companyyn168</vt:lpstr>
      <vt:lpstr>companyyn169</vt:lpstr>
      <vt:lpstr>companyyn170</vt:lpstr>
      <vt:lpstr>companyyn171</vt:lpstr>
      <vt:lpstr>companyyn172</vt:lpstr>
      <vt:lpstr>companyyn173</vt:lpstr>
      <vt:lpstr>companyyn174</vt:lpstr>
      <vt:lpstr>companyyn175</vt:lpstr>
      <vt:lpstr>companyyn176</vt:lpstr>
      <vt:lpstr>companyyn177</vt:lpstr>
      <vt:lpstr>companyyn178</vt:lpstr>
      <vt:lpstr>companyyn179</vt:lpstr>
      <vt:lpstr>companyyn180</vt:lpstr>
      <vt:lpstr>companyyn181</vt:lpstr>
      <vt:lpstr>companyyn182</vt:lpstr>
      <vt:lpstr>companyyn183</vt:lpstr>
      <vt:lpstr>companyyn184</vt:lpstr>
      <vt:lpstr>companyyn185</vt:lpstr>
      <vt:lpstr>companyyn186</vt:lpstr>
      <vt:lpstr>companyyn187</vt:lpstr>
      <vt:lpstr>companyyn188</vt:lpstr>
      <vt:lpstr>companyyn189</vt:lpstr>
      <vt:lpstr>companyyn190</vt:lpstr>
      <vt:lpstr>companyyn191</vt:lpstr>
      <vt:lpstr>companyyn192</vt:lpstr>
      <vt:lpstr>companyyn193</vt:lpstr>
      <vt:lpstr>companyyn194</vt:lpstr>
      <vt:lpstr>companyyn195</vt:lpstr>
      <vt:lpstr>companyyn196</vt:lpstr>
      <vt:lpstr>companyyn197</vt:lpstr>
      <vt:lpstr>companyyn198</vt:lpstr>
      <vt:lpstr>companyyn199</vt:lpstr>
      <vt:lpstr>companyyn200</vt:lpstr>
      <vt:lpstr>companyyn201</vt:lpstr>
      <vt:lpstr>companyyn202</vt:lpstr>
      <vt:lpstr>companyyn203</vt:lpstr>
      <vt:lpstr>companyyn204</vt:lpstr>
      <vt:lpstr>companyyn205</vt:lpstr>
      <vt:lpstr>companyyn206</vt:lpstr>
      <vt:lpstr>companyyn207</vt:lpstr>
      <vt:lpstr>companyyn208</vt:lpstr>
      <vt:lpstr>companyyn209</vt:lpstr>
      <vt:lpstr>companyyn210</vt:lpstr>
      <vt:lpstr>companyyn211</vt:lpstr>
      <vt:lpstr>companyyn212</vt:lpstr>
      <vt:lpstr>companyyn213</vt:lpstr>
      <vt:lpstr>companyyn214</vt:lpstr>
      <vt:lpstr>companyyn215</vt:lpstr>
      <vt:lpstr>companyyn216</vt:lpstr>
      <vt:lpstr>companyyn217</vt:lpstr>
      <vt:lpstr>companyyn218</vt:lpstr>
      <vt:lpstr>companyyn219</vt:lpstr>
      <vt:lpstr>companyyn220</vt:lpstr>
      <vt:lpstr>companyyn221</vt:lpstr>
      <vt:lpstr>companyyn222</vt:lpstr>
      <vt:lpstr>companyyn223</vt:lpstr>
      <vt:lpstr>companyyn224</vt:lpstr>
      <vt:lpstr>companyyn225</vt:lpstr>
      <vt:lpstr>companyyn226</vt:lpstr>
      <vt:lpstr>companyyn227</vt:lpstr>
      <vt:lpstr>companyyn228</vt:lpstr>
      <vt:lpstr>companyyn229</vt:lpstr>
      <vt:lpstr>companyyn230</vt:lpstr>
      <vt:lpstr>companyyn231</vt:lpstr>
      <vt:lpstr>companyyn232</vt:lpstr>
      <vt:lpstr>companyyn233</vt:lpstr>
      <vt:lpstr>companyyn234</vt:lpstr>
      <vt:lpstr>companyyn235</vt:lpstr>
      <vt:lpstr>companyyn236</vt:lpstr>
      <vt:lpstr>companyyn237</vt:lpstr>
      <vt:lpstr>companyyn238</vt:lpstr>
      <vt:lpstr>companyyn239</vt:lpstr>
      <vt:lpstr>companyyn240</vt:lpstr>
      <vt:lpstr>companyyn241</vt:lpstr>
      <vt:lpstr>companyyn242</vt:lpstr>
      <vt:lpstr>companyyn243</vt:lpstr>
      <vt:lpstr>companyyn244</vt:lpstr>
      <vt:lpstr>companyyn245</vt:lpstr>
      <vt:lpstr>companyyn246</vt:lpstr>
      <vt:lpstr>companyyn247</vt:lpstr>
      <vt:lpstr>companyyn248</vt:lpstr>
      <vt:lpstr>companyyn249</vt:lpstr>
      <vt:lpstr>companyyn250</vt:lpstr>
      <vt:lpstr>companyyn251</vt:lpstr>
      <vt:lpstr>companyyn252</vt:lpstr>
      <vt:lpstr>companyyn253</vt:lpstr>
      <vt:lpstr>companyyn254</vt:lpstr>
      <vt:lpstr>companyyn255</vt:lpstr>
      <vt:lpstr>companyyn256</vt:lpstr>
      <vt:lpstr>companyyn257</vt:lpstr>
      <vt:lpstr>companyyn258</vt:lpstr>
      <vt:lpstr>companyyn259</vt:lpstr>
      <vt:lpstr>companyyn260</vt:lpstr>
      <vt:lpstr>companyyn261</vt:lpstr>
      <vt:lpstr>companyyn262</vt:lpstr>
      <vt:lpstr>companyyn263</vt:lpstr>
      <vt:lpstr>companyyn264</vt:lpstr>
      <vt:lpstr>companyyn265</vt:lpstr>
      <vt:lpstr>companyyn266</vt:lpstr>
      <vt:lpstr>companyyn267</vt:lpstr>
      <vt:lpstr>companyyn268</vt:lpstr>
      <vt:lpstr>companyyn269</vt:lpstr>
      <vt:lpstr>companyyn270</vt:lpstr>
      <vt:lpstr>companyyn271</vt:lpstr>
      <vt:lpstr>companyyn272</vt:lpstr>
      <vt:lpstr>companyyn273</vt:lpstr>
      <vt:lpstr>companyyn274</vt:lpstr>
      <vt:lpstr>companyyn275</vt:lpstr>
      <vt:lpstr>companyyn276</vt:lpstr>
      <vt:lpstr>companyyn277</vt:lpstr>
      <vt:lpstr>companyyn278</vt:lpstr>
      <vt:lpstr>companyyn279</vt:lpstr>
      <vt:lpstr>companyyn280</vt:lpstr>
      <vt:lpstr>companyyn281</vt:lpstr>
      <vt:lpstr>companyyn282</vt:lpstr>
      <vt:lpstr>companyyn283</vt:lpstr>
      <vt:lpstr>companyyn284</vt:lpstr>
      <vt:lpstr>companyyn285</vt:lpstr>
      <vt:lpstr>companyyn286</vt:lpstr>
      <vt:lpstr>companyyn287</vt:lpstr>
      <vt:lpstr>companyyn288</vt:lpstr>
      <vt:lpstr>companyyn289</vt:lpstr>
      <vt:lpstr>companyyn290</vt:lpstr>
      <vt:lpstr>companyyn291</vt:lpstr>
      <vt:lpstr>companyyn292</vt:lpstr>
      <vt:lpstr>companyyn293</vt:lpstr>
      <vt:lpstr>companyyn294</vt:lpstr>
      <vt:lpstr>companyyn295</vt:lpstr>
      <vt:lpstr>companyyn296</vt:lpstr>
      <vt:lpstr>companyyn297</vt:lpstr>
      <vt:lpstr>companyyn298</vt:lpstr>
      <vt:lpstr>companyyn299</vt:lpstr>
      <vt:lpstr>companyyn300</vt:lpstr>
      <vt:lpstr>companyyn301</vt:lpstr>
      <vt:lpstr>companyyn302</vt:lpstr>
      <vt:lpstr>companyyn303</vt:lpstr>
      <vt:lpstr>companyyn304</vt:lpstr>
      <vt:lpstr>companyyn305</vt:lpstr>
      <vt:lpstr>companyyn306</vt:lpstr>
      <vt:lpstr>companyyn307</vt:lpstr>
      <vt:lpstr>companyyn308</vt:lpstr>
      <vt:lpstr>companyyn309</vt:lpstr>
      <vt:lpstr>companyyn310</vt:lpstr>
      <vt:lpstr>companyyn311</vt:lpstr>
      <vt:lpstr>companyyn312</vt:lpstr>
      <vt:lpstr>companyyn313</vt:lpstr>
      <vt:lpstr>companyyn314</vt:lpstr>
      <vt:lpstr>companyyn315</vt:lpstr>
      <vt:lpstr>companyyn316</vt:lpstr>
      <vt:lpstr>companyyn317</vt:lpstr>
      <vt:lpstr>companyyn318</vt:lpstr>
      <vt:lpstr>companyyn319</vt:lpstr>
      <vt:lpstr>companyyn320</vt:lpstr>
      <vt:lpstr>companyyn321</vt:lpstr>
      <vt:lpstr>companyyn322</vt:lpstr>
      <vt:lpstr>companyyn323</vt:lpstr>
      <vt:lpstr>companyyn324</vt:lpstr>
      <vt:lpstr>companyyn325</vt:lpstr>
      <vt:lpstr>companyyn326</vt:lpstr>
      <vt:lpstr>companyyn327</vt:lpstr>
      <vt:lpstr>companyyn328</vt:lpstr>
      <vt:lpstr>companyyn329</vt:lpstr>
      <vt:lpstr>companyyn330</vt:lpstr>
      <vt:lpstr>companyyn331</vt:lpstr>
      <vt:lpstr>companyyn332</vt:lpstr>
      <vt:lpstr>companyyn333</vt:lpstr>
      <vt:lpstr>companyyn334</vt:lpstr>
      <vt:lpstr>companyyn335</vt:lpstr>
      <vt:lpstr>companyyn336</vt:lpstr>
      <vt:lpstr>companyyn337</vt:lpstr>
      <vt:lpstr>companyyn338</vt:lpstr>
      <vt:lpstr>companyyn339</vt:lpstr>
      <vt:lpstr>companyyn340</vt:lpstr>
      <vt:lpstr>companyyn341</vt:lpstr>
      <vt:lpstr>companyyn342</vt:lpstr>
      <vt:lpstr>companyyn343</vt:lpstr>
      <vt:lpstr>companyyn344</vt:lpstr>
      <vt:lpstr>companyyn345</vt:lpstr>
      <vt:lpstr>companyyn346</vt:lpstr>
      <vt:lpstr>companyyn347</vt:lpstr>
      <vt:lpstr>companyyn348</vt:lpstr>
      <vt:lpstr>companyyn349</vt:lpstr>
      <vt:lpstr>companyyn350</vt:lpstr>
      <vt:lpstr>companyyn351</vt:lpstr>
      <vt:lpstr>companyyn352</vt:lpstr>
      <vt:lpstr>companyyn353</vt:lpstr>
      <vt:lpstr>companyyn354</vt:lpstr>
      <vt:lpstr>companyyn355</vt:lpstr>
      <vt:lpstr>companyyn356</vt:lpstr>
      <vt:lpstr>companyyn357</vt:lpstr>
      <vt:lpstr>companyyn358</vt:lpstr>
      <vt:lpstr>companyyn359</vt:lpstr>
      <vt:lpstr>companyyn360</vt:lpstr>
      <vt:lpstr>companyyn361</vt:lpstr>
      <vt:lpstr>companyyn362</vt:lpstr>
      <vt:lpstr>companyyn363</vt:lpstr>
      <vt:lpstr>companyyn364</vt:lpstr>
      <vt:lpstr>companyyn365</vt:lpstr>
      <vt:lpstr>companyyn366</vt:lpstr>
      <vt:lpstr>companyyn367</vt:lpstr>
      <vt:lpstr>companyyn368</vt:lpstr>
      <vt:lpstr>companyyn369</vt:lpstr>
      <vt:lpstr>companyyn370</vt:lpstr>
      <vt:lpstr>companyyn371</vt:lpstr>
      <vt:lpstr>companyyn372</vt:lpstr>
      <vt:lpstr>companyyn373</vt:lpstr>
      <vt:lpstr>companyyn374</vt:lpstr>
      <vt:lpstr>companyyn375</vt:lpstr>
      <vt:lpstr>companyyn376</vt:lpstr>
      <vt:lpstr>companyyn377</vt:lpstr>
      <vt:lpstr>companyyn378</vt:lpstr>
      <vt:lpstr>companyyn379</vt:lpstr>
      <vt:lpstr>companyyn380</vt:lpstr>
      <vt:lpstr>companyyn381</vt:lpstr>
      <vt:lpstr>companyyn382</vt:lpstr>
      <vt:lpstr>companyyn383</vt:lpstr>
      <vt:lpstr>companyyn384</vt:lpstr>
      <vt:lpstr>companyyn385</vt:lpstr>
      <vt:lpstr>companyyn386</vt:lpstr>
      <vt:lpstr>companyyn387</vt:lpstr>
      <vt:lpstr>companyyn388</vt:lpstr>
      <vt:lpstr>companyyn389</vt:lpstr>
      <vt:lpstr>companyyn390</vt:lpstr>
      <vt:lpstr>companyyn391</vt:lpstr>
      <vt:lpstr>companyyn392</vt:lpstr>
      <vt:lpstr>companyyn393</vt:lpstr>
      <vt:lpstr>companyyn394</vt:lpstr>
      <vt:lpstr>companyyn395</vt:lpstr>
      <vt:lpstr>companyyn396</vt:lpstr>
      <vt:lpstr>companyyn397</vt:lpstr>
      <vt:lpstr>companyyn398</vt:lpstr>
      <vt:lpstr>companyyn399</vt:lpstr>
      <vt:lpstr>companyyn400</vt:lpstr>
      <vt:lpstr>companyyn401</vt:lpstr>
      <vt:lpstr>companyyn402</vt:lpstr>
      <vt:lpstr>companyyn403</vt:lpstr>
      <vt:lpstr>companyyn404</vt:lpstr>
      <vt:lpstr>companyyn405</vt:lpstr>
      <vt:lpstr>companyyn406</vt:lpstr>
      <vt:lpstr>companyyn407</vt:lpstr>
      <vt:lpstr>companyyn408</vt:lpstr>
      <vt:lpstr>companyyn409</vt:lpstr>
      <vt:lpstr>companyyn410</vt:lpstr>
      <vt:lpstr>companyyn411</vt:lpstr>
      <vt:lpstr>companyyn412</vt:lpstr>
      <vt:lpstr>companyyn413</vt:lpstr>
      <vt:lpstr>companyyn414</vt:lpstr>
      <vt:lpstr>companyyn415</vt:lpstr>
      <vt:lpstr>companyyn416</vt:lpstr>
      <vt:lpstr>companyyn417</vt:lpstr>
      <vt:lpstr>companyyn418</vt:lpstr>
      <vt:lpstr>companyyn419</vt:lpstr>
      <vt:lpstr>companyyn420</vt:lpstr>
      <vt:lpstr>companyyn421</vt:lpstr>
      <vt:lpstr>companyyn422</vt:lpstr>
      <vt:lpstr>companyyn423</vt:lpstr>
      <vt:lpstr>companyyn424</vt:lpstr>
      <vt:lpstr>companyyn425</vt:lpstr>
      <vt:lpstr>companyyn426</vt:lpstr>
      <vt:lpstr>companyyn427</vt:lpstr>
      <vt:lpstr>companyyn428</vt:lpstr>
      <vt:lpstr>companyyn429</vt:lpstr>
      <vt:lpstr>companyyn430</vt:lpstr>
      <vt:lpstr>companyyn431</vt:lpstr>
      <vt:lpstr>companyyn432</vt:lpstr>
      <vt:lpstr>companyyn433</vt:lpstr>
      <vt:lpstr>companyyn434</vt:lpstr>
      <vt:lpstr>companyyn435</vt:lpstr>
      <vt:lpstr>companyyn436</vt:lpstr>
      <vt:lpstr>companyyn437</vt:lpstr>
      <vt:lpstr>companyyn438</vt:lpstr>
      <vt:lpstr>companyyn439</vt:lpstr>
      <vt:lpstr>companyyn440</vt:lpstr>
      <vt:lpstr>companyyn441</vt:lpstr>
      <vt:lpstr>companyyn442</vt:lpstr>
      <vt:lpstr>companyyn443</vt:lpstr>
      <vt:lpstr>companyyn444</vt:lpstr>
      <vt:lpstr>companyyn445</vt:lpstr>
      <vt:lpstr>companyyn446</vt:lpstr>
      <vt:lpstr>companyyn447</vt:lpstr>
      <vt:lpstr>companyyn448</vt:lpstr>
      <vt:lpstr>companyyn449</vt:lpstr>
      <vt:lpstr>companyyn450</vt:lpstr>
      <vt:lpstr>companyyn451</vt:lpstr>
      <vt:lpstr>companyyn452</vt:lpstr>
      <vt:lpstr>companyyn453</vt:lpstr>
      <vt:lpstr>companyyn454</vt:lpstr>
      <vt:lpstr>companyyn455</vt:lpstr>
      <vt:lpstr>companyyn456</vt:lpstr>
      <vt:lpstr>companyyn457</vt:lpstr>
      <vt:lpstr>companyyn458</vt:lpstr>
      <vt:lpstr>companyyn459</vt:lpstr>
      <vt:lpstr>companyyn460</vt:lpstr>
      <vt:lpstr>companyyn461</vt:lpstr>
      <vt:lpstr>companyyn462</vt:lpstr>
      <vt:lpstr>companyyn463</vt:lpstr>
      <vt:lpstr>companyyn464</vt:lpstr>
      <vt:lpstr>companyyn465</vt:lpstr>
      <vt:lpstr>companyyn466</vt:lpstr>
      <vt:lpstr>companyyn467</vt:lpstr>
      <vt:lpstr>companyyn468</vt:lpstr>
      <vt:lpstr>companyyn469</vt:lpstr>
      <vt:lpstr>companyyn470</vt:lpstr>
      <vt:lpstr>companyyn471</vt:lpstr>
      <vt:lpstr>companyyn472</vt:lpstr>
      <vt:lpstr>companyyn473</vt:lpstr>
      <vt:lpstr>companyyn474</vt:lpstr>
      <vt:lpstr>companyyn475</vt:lpstr>
      <vt:lpstr>companyyn476</vt:lpstr>
      <vt:lpstr>companyyn477</vt:lpstr>
      <vt:lpstr>companyyn478</vt:lpstr>
      <vt:lpstr>companyyn479</vt:lpstr>
      <vt:lpstr>companyyn480</vt:lpstr>
      <vt:lpstr>companyyn481</vt:lpstr>
      <vt:lpstr>companyyn482</vt:lpstr>
      <vt:lpstr>companyyn483</vt:lpstr>
      <vt:lpstr>companyyn484</vt:lpstr>
      <vt:lpstr>companyyn485</vt:lpstr>
      <vt:lpstr>companyyn486</vt:lpstr>
      <vt:lpstr>companyyn487</vt:lpstr>
      <vt:lpstr>companyyn488</vt:lpstr>
      <vt:lpstr>companyyn489</vt:lpstr>
      <vt:lpstr>companyyn490</vt:lpstr>
      <vt:lpstr>companyyn491</vt:lpstr>
      <vt:lpstr>companyyn492</vt:lpstr>
      <vt:lpstr>companyyn493</vt:lpstr>
      <vt:lpstr>companyyn494</vt:lpstr>
      <vt:lpstr>companyyn495</vt:lpstr>
      <vt:lpstr>companyyn496</vt:lpstr>
      <vt:lpstr>companyyn497</vt:lpstr>
      <vt:lpstr>companyyn498</vt:lpstr>
      <vt:lpstr>companyyn499</vt:lpstr>
      <vt:lpstr>companyyn500</vt:lpstr>
      <vt:lpstr>contractCustomerAddress</vt:lpstr>
      <vt:lpstr>contractCustomerAddress2</vt:lpstr>
      <vt:lpstr>contractCustomerAddressKana</vt:lpstr>
      <vt:lpstr>contractCustomerName</vt:lpstr>
      <vt:lpstr>contractCustomerNameKana</vt:lpstr>
      <vt:lpstr>contractCustomerPostalNumber</vt:lpstr>
      <vt:lpstr>formVersion</vt:lpstr>
      <vt:lpstr>keiyakuid001</vt:lpstr>
      <vt:lpstr>keiyakuid002</vt:lpstr>
      <vt:lpstr>keiyakuid003</vt:lpstr>
      <vt:lpstr>keiyakuid004</vt:lpstr>
      <vt:lpstr>keiyakuid005</vt:lpstr>
      <vt:lpstr>keiyakuid006</vt:lpstr>
      <vt:lpstr>keiyakuid007</vt:lpstr>
      <vt:lpstr>keiyakuid008</vt:lpstr>
      <vt:lpstr>keiyakuid009</vt:lpstr>
      <vt:lpstr>keiyakuid010</vt:lpstr>
      <vt:lpstr>keiyakuid011</vt:lpstr>
      <vt:lpstr>keiyakuid012</vt:lpstr>
      <vt:lpstr>keiyakuid013</vt:lpstr>
      <vt:lpstr>keiyakuid014</vt:lpstr>
      <vt:lpstr>keiyakuid015</vt:lpstr>
      <vt:lpstr>keiyakuid016</vt:lpstr>
      <vt:lpstr>keiyakuid017</vt:lpstr>
      <vt:lpstr>keiyakuid018</vt:lpstr>
      <vt:lpstr>keiyakuid019</vt:lpstr>
      <vt:lpstr>keiyakuid020</vt:lpstr>
      <vt:lpstr>keiyakuid021</vt:lpstr>
      <vt:lpstr>keiyakuid022</vt:lpstr>
      <vt:lpstr>keiyakuid023</vt:lpstr>
      <vt:lpstr>keiyakuid024</vt:lpstr>
      <vt:lpstr>keiyakuid025</vt:lpstr>
      <vt:lpstr>keiyakuid026</vt:lpstr>
      <vt:lpstr>keiyakuid027</vt:lpstr>
      <vt:lpstr>keiyakuid028</vt:lpstr>
      <vt:lpstr>keiyakuid029</vt:lpstr>
      <vt:lpstr>keiyakuid030</vt:lpstr>
      <vt:lpstr>keiyakuid031</vt:lpstr>
      <vt:lpstr>keiyakuid032</vt:lpstr>
      <vt:lpstr>keiyakuid033</vt:lpstr>
      <vt:lpstr>keiyakuid034</vt:lpstr>
      <vt:lpstr>keiyakuid035</vt:lpstr>
      <vt:lpstr>keiyakuid036</vt:lpstr>
      <vt:lpstr>keiyakuid037</vt:lpstr>
      <vt:lpstr>keiyakuid038</vt:lpstr>
      <vt:lpstr>keiyakuid039</vt:lpstr>
      <vt:lpstr>keiyakuid040</vt:lpstr>
      <vt:lpstr>keiyakuid041</vt:lpstr>
      <vt:lpstr>keiyakuid042</vt:lpstr>
      <vt:lpstr>keiyakuid043</vt:lpstr>
      <vt:lpstr>keiyakuid044</vt:lpstr>
      <vt:lpstr>keiyakuid045</vt:lpstr>
      <vt:lpstr>keiyakuid046</vt:lpstr>
      <vt:lpstr>keiyakuid047</vt:lpstr>
      <vt:lpstr>keiyakuid048</vt:lpstr>
      <vt:lpstr>keiyakuid049</vt:lpstr>
      <vt:lpstr>keiyakuid050</vt:lpstr>
      <vt:lpstr>keiyakuid051</vt:lpstr>
      <vt:lpstr>keiyakuid052</vt:lpstr>
      <vt:lpstr>keiyakuid053</vt:lpstr>
      <vt:lpstr>keiyakuid054</vt:lpstr>
      <vt:lpstr>keiyakuid055</vt:lpstr>
      <vt:lpstr>keiyakuid056</vt:lpstr>
      <vt:lpstr>keiyakuid057</vt:lpstr>
      <vt:lpstr>keiyakuid058</vt:lpstr>
      <vt:lpstr>keiyakuid059</vt:lpstr>
      <vt:lpstr>keiyakuid060</vt:lpstr>
      <vt:lpstr>keiyakuid061</vt:lpstr>
      <vt:lpstr>keiyakuid062</vt:lpstr>
      <vt:lpstr>keiyakuid063</vt:lpstr>
      <vt:lpstr>keiyakuid064</vt:lpstr>
      <vt:lpstr>keiyakuid065</vt:lpstr>
      <vt:lpstr>keiyakuid066</vt:lpstr>
      <vt:lpstr>keiyakuid067</vt:lpstr>
      <vt:lpstr>keiyakuid068</vt:lpstr>
      <vt:lpstr>keiyakuid069</vt:lpstr>
      <vt:lpstr>keiyakuid070</vt:lpstr>
      <vt:lpstr>keiyakuid071</vt:lpstr>
      <vt:lpstr>keiyakuid072</vt:lpstr>
      <vt:lpstr>keiyakuid073</vt:lpstr>
      <vt:lpstr>keiyakuid074</vt:lpstr>
      <vt:lpstr>keiyakuid075</vt:lpstr>
      <vt:lpstr>keiyakuid076</vt:lpstr>
      <vt:lpstr>keiyakuid077</vt:lpstr>
      <vt:lpstr>keiyakuid078</vt:lpstr>
      <vt:lpstr>keiyakuid079</vt:lpstr>
      <vt:lpstr>keiyakuid080</vt:lpstr>
      <vt:lpstr>keiyakuid081</vt:lpstr>
      <vt:lpstr>keiyakuid082</vt:lpstr>
      <vt:lpstr>keiyakuid083</vt:lpstr>
      <vt:lpstr>keiyakuid084</vt:lpstr>
      <vt:lpstr>keiyakuid085</vt:lpstr>
      <vt:lpstr>keiyakuid086</vt:lpstr>
      <vt:lpstr>keiyakuid087</vt:lpstr>
      <vt:lpstr>keiyakuid088</vt:lpstr>
      <vt:lpstr>keiyakuid089</vt:lpstr>
      <vt:lpstr>keiyakuid090</vt:lpstr>
      <vt:lpstr>keiyakuid091</vt:lpstr>
      <vt:lpstr>keiyakuid092</vt:lpstr>
      <vt:lpstr>keiyakuid093</vt:lpstr>
      <vt:lpstr>keiyakuid094</vt:lpstr>
      <vt:lpstr>keiyakuid095</vt:lpstr>
      <vt:lpstr>keiyakuid096</vt:lpstr>
      <vt:lpstr>keiyakuid097</vt:lpstr>
      <vt:lpstr>keiyakuid098</vt:lpstr>
      <vt:lpstr>keiyakuid099</vt:lpstr>
      <vt:lpstr>keiyakuid100</vt:lpstr>
      <vt:lpstr>keiyakuid101</vt:lpstr>
      <vt:lpstr>keiyakuid102</vt:lpstr>
      <vt:lpstr>keiyakuid103</vt:lpstr>
      <vt:lpstr>keiyakuid104</vt:lpstr>
      <vt:lpstr>keiyakuid105</vt:lpstr>
      <vt:lpstr>keiyakuid106</vt:lpstr>
      <vt:lpstr>keiyakuid107</vt:lpstr>
      <vt:lpstr>keiyakuid108</vt:lpstr>
      <vt:lpstr>keiyakuid109</vt:lpstr>
      <vt:lpstr>keiyakuid110</vt:lpstr>
      <vt:lpstr>keiyakuid111</vt:lpstr>
      <vt:lpstr>keiyakuid112</vt:lpstr>
      <vt:lpstr>keiyakuid113</vt:lpstr>
      <vt:lpstr>keiyakuid114</vt:lpstr>
      <vt:lpstr>keiyakuid115</vt:lpstr>
      <vt:lpstr>keiyakuid116</vt:lpstr>
      <vt:lpstr>keiyakuid117</vt:lpstr>
      <vt:lpstr>keiyakuid118</vt:lpstr>
      <vt:lpstr>keiyakuid119</vt:lpstr>
      <vt:lpstr>keiyakuid120</vt:lpstr>
      <vt:lpstr>keiyakuid121</vt:lpstr>
      <vt:lpstr>keiyakuid122</vt:lpstr>
      <vt:lpstr>keiyakuid123</vt:lpstr>
      <vt:lpstr>keiyakuid124</vt:lpstr>
      <vt:lpstr>keiyakuid125</vt:lpstr>
      <vt:lpstr>keiyakuid126</vt:lpstr>
      <vt:lpstr>keiyakuid127</vt:lpstr>
      <vt:lpstr>keiyakuid128</vt:lpstr>
      <vt:lpstr>keiyakuid129</vt:lpstr>
      <vt:lpstr>keiyakuid130</vt:lpstr>
      <vt:lpstr>keiyakuid131</vt:lpstr>
      <vt:lpstr>keiyakuid132</vt:lpstr>
      <vt:lpstr>keiyakuid133</vt:lpstr>
      <vt:lpstr>keiyakuid134</vt:lpstr>
      <vt:lpstr>keiyakuid135</vt:lpstr>
      <vt:lpstr>keiyakuid136</vt:lpstr>
      <vt:lpstr>keiyakuid137</vt:lpstr>
      <vt:lpstr>keiyakuid138</vt:lpstr>
      <vt:lpstr>keiyakuid139</vt:lpstr>
      <vt:lpstr>keiyakuid140</vt:lpstr>
      <vt:lpstr>keiyakuid141</vt:lpstr>
      <vt:lpstr>keiyakuid142</vt:lpstr>
      <vt:lpstr>keiyakuid143</vt:lpstr>
      <vt:lpstr>keiyakuid144</vt:lpstr>
      <vt:lpstr>keiyakuid145</vt:lpstr>
      <vt:lpstr>keiyakuid146</vt:lpstr>
      <vt:lpstr>keiyakuid147</vt:lpstr>
      <vt:lpstr>keiyakuid148</vt:lpstr>
      <vt:lpstr>keiyakuid149</vt:lpstr>
      <vt:lpstr>keiyakuid150</vt:lpstr>
      <vt:lpstr>keiyakuid151</vt:lpstr>
      <vt:lpstr>keiyakuid152</vt:lpstr>
      <vt:lpstr>keiyakuid153</vt:lpstr>
      <vt:lpstr>keiyakuid154</vt:lpstr>
      <vt:lpstr>keiyakuid155</vt:lpstr>
      <vt:lpstr>keiyakuid156</vt:lpstr>
      <vt:lpstr>keiyakuid157</vt:lpstr>
      <vt:lpstr>keiyakuid158</vt:lpstr>
      <vt:lpstr>keiyakuid159</vt:lpstr>
      <vt:lpstr>keiyakuid160</vt:lpstr>
      <vt:lpstr>keiyakuid161</vt:lpstr>
      <vt:lpstr>keiyakuid162</vt:lpstr>
      <vt:lpstr>keiyakuid163</vt:lpstr>
      <vt:lpstr>keiyakuid164</vt:lpstr>
      <vt:lpstr>keiyakuid165</vt:lpstr>
      <vt:lpstr>keiyakuid166</vt:lpstr>
      <vt:lpstr>keiyakuid167</vt:lpstr>
      <vt:lpstr>keiyakuid168</vt:lpstr>
      <vt:lpstr>keiyakuid169</vt:lpstr>
      <vt:lpstr>keiyakuid170</vt:lpstr>
      <vt:lpstr>keiyakuid171</vt:lpstr>
      <vt:lpstr>keiyakuid172</vt:lpstr>
      <vt:lpstr>keiyakuid173</vt:lpstr>
      <vt:lpstr>keiyakuid174</vt:lpstr>
      <vt:lpstr>keiyakuid175</vt:lpstr>
      <vt:lpstr>keiyakuid176</vt:lpstr>
      <vt:lpstr>keiyakuid177</vt:lpstr>
      <vt:lpstr>keiyakuid178</vt:lpstr>
      <vt:lpstr>keiyakuid179</vt:lpstr>
      <vt:lpstr>keiyakuid180</vt:lpstr>
      <vt:lpstr>keiyakuid181</vt:lpstr>
      <vt:lpstr>keiyakuid182</vt:lpstr>
      <vt:lpstr>keiyakuid183</vt:lpstr>
      <vt:lpstr>keiyakuid184</vt:lpstr>
      <vt:lpstr>keiyakuid185</vt:lpstr>
      <vt:lpstr>keiyakuid186</vt:lpstr>
      <vt:lpstr>keiyakuid187</vt:lpstr>
      <vt:lpstr>keiyakuid188</vt:lpstr>
      <vt:lpstr>keiyakuid189</vt:lpstr>
      <vt:lpstr>keiyakuid190</vt:lpstr>
      <vt:lpstr>keiyakuid191</vt:lpstr>
      <vt:lpstr>keiyakuid192</vt:lpstr>
      <vt:lpstr>keiyakuid193</vt:lpstr>
      <vt:lpstr>keiyakuid194</vt:lpstr>
      <vt:lpstr>keiyakuid195</vt:lpstr>
      <vt:lpstr>keiyakuid196</vt:lpstr>
      <vt:lpstr>keiyakuid197</vt:lpstr>
      <vt:lpstr>keiyakuid198</vt:lpstr>
      <vt:lpstr>keiyakuid199</vt:lpstr>
      <vt:lpstr>keiyakuid200</vt:lpstr>
      <vt:lpstr>keiyakuid201</vt:lpstr>
      <vt:lpstr>keiyakuid202</vt:lpstr>
      <vt:lpstr>keiyakuid203</vt:lpstr>
      <vt:lpstr>keiyakuid204</vt:lpstr>
      <vt:lpstr>keiyakuid205</vt:lpstr>
      <vt:lpstr>keiyakuid206</vt:lpstr>
      <vt:lpstr>keiyakuid207</vt:lpstr>
      <vt:lpstr>keiyakuid208</vt:lpstr>
      <vt:lpstr>keiyakuid209</vt:lpstr>
      <vt:lpstr>keiyakuid210</vt:lpstr>
      <vt:lpstr>keiyakuid211</vt:lpstr>
      <vt:lpstr>keiyakuid212</vt:lpstr>
      <vt:lpstr>keiyakuid213</vt:lpstr>
      <vt:lpstr>keiyakuid214</vt:lpstr>
      <vt:lpstr>keiyakuid215</vt:lpstr>
      <vt:lpstr>keiyakuid216</vt:lpstr>
      <vt:lpstr>keiyakuid217</vt:lpstr>
      <vt:lpstr>keiyakuid218</vt:lpstr>
      <vt:lpstr>keiyakuid219</vt:lpstr>
      <vt:lpstr>keiyakuid220</vt:lpstr>
      <vt:lpstr>keiyakuid221</vt:lpstr>
      <vt:lpstr>keiyakuid222</vt:lpstr>
      <vt:lpstr>keiyakuid223</vt:lpstr>
      <vt:lpstr>keiyakuid224</vt:lpstr>
      <vt:lpstr>keiyakuid225</vt:lpstr>
      <vt:lpstr>keiyakuid226</vt:lpstr>
      <vt:lpstr>keiyakuid227</vt:lpstr>
      <vt:lpstr>keiyakuid228</vt:lpstr>
      <vt:lpstr>keiyakuid229</vt:lpstr>
      <vt:lpstr>keiyakuid230</vt:lpstr>
      <vt:lpstr>keiyakuid231</vt:lpstr>
      <vt:lpstr>keiyakuid232</vt:lpstr>
      <vt:lpstr>keiyakuid233</vt:lpstr>
      <vt:lpstr>keiyakuid234</vt:lpstr>
      <vt:lpstr>keiyakuid235</vt:lpstr>
      <vt:lpstr>keiyakuid236</vt:lpstr>
      <vt:lpstr>keiyakuid237</vt:lpstr>
      <vt:lpstr>keiyakuid238</vt:lpstr>
      <vt:lpstr>keiyakuid239</vt:lpstr>
      <vt:lpstr>keiyakuid240</vt:lpstr>
      <vt:lpstr>keiyakuid241</vt:lpstr>
      <vt:lpstr>keiyakuid242</vt:lpstr>
      <vt:lpstr>keiyakuid243</vt:lpstr>
      <vt:lpstr>keiyakuid244</vt:lpstr>
      <vt:lpstr>keiyakuid245</vt:lpstr>
      <vt:lpstr>keiyakuid246</vt:lpstr>
      <vt:lpstr>keiyakuid247</vt:lpstr>
      <vt:lpstr>keiyakuid248</vt:lpstr>
      <vt:lpstr>keiyakuid249</vt:lpstr>
      <vt:lpstr>keiyakuid250</vt:lpstr>
      <vt:lpstr>keiyakuid251</vt:lpstr>
      <vt:lpstr>keiyakuid252</vt:lpstr>
      <vt:lpstr>keiyakuid253</vt:lpstr>
      <vt:lpstr>keiyakuid254</vt:lpstr>
      <vt:lpstr>keiyakuid255</vt:lpstr>
      <vt:lpstr>keiyakuid256</vt:lpstr>
      <vt:lpstr>keiyakuid257</vt:lpstr>
      <vt:lpstr>keiyakuid258</vt:lpstr>
      <vt:lpstr>keiyakuid259</vt:lpstr>
      <vt:lpstr>keiyakuid260</vt:lpstr>
      <vt:lpstr>keiyakuid261</vt:lpstr>
      <vt:lpstr>keiyakuid262</vt:lpstr>
      <vt:lpstr>keiyakuid263</vt:lpstr>
      <vt:lpstr>keiyakuid264</vt:lpstr>
      <vt:lpstr>keiyakuid265</vt:lpstr>
      <vt:lpstr>keiyakuid266</vt:lpstr>
      <vt:lpstr>keiyakuid267</vt:lpstr>
      <vt:lpstr>keiyakuid268</vt:lpstr>
      <vt:lpstr>keiyakuid269</vt:lpstr>
      <vt:lpstr>keiyakuid270</vt:lpstr>
      <vt:lpstr>keiyakuid271</vt:lpstr>
      <vt:lpstr>keiyakuid272</vt:lpstr>
      <vt:lpstr>keiyakuid273</vt:lpstr>
      <vt:lpstr>keiyakuid274</vt:lpstr>
      <vt:lpstr>keiyakuid275</vt:lpstr>
      <vt:lpstr>keiyakuid276</vt:lpstr>
      <vt:lpstr>keiyakuid277</vt:lpstr>
      <vt:lpstr>keiyakuid278</vt:lpstr>
      <vt:lpstr>keiyakuid279</vt:lpstr>
      <vt:lpstr>keiyakuid280</vt:lpstr>
      <vt:lpstr>keiyakuid281</vt:lpstr>
      <vt:lpstr>keiyakuid282</vt:lpstr>
      <vt:lpstr>keiyakuid283</vt:lpstr>
      <vt:lpstr>keiyakuid284</vt:lpstr>
      <vt:lpstr>keiyakuid285</vt:lpstr>
      <vt:lpstr>keiyakuid286</vt:lpstr>
      <vt:lpstr>keiyakuid287</vt:lpstr>
      <vt:lpstr>keiyakuid288</vt:lpstr>
      <vt:lpstr>keiyakuid289</vt:lpstr>
      <vt:lpstr>keiyakuid290</vt:lpstr>
      <vt:lpstr>keiyakuid291</vt:lpstr>
      <vt:lpstr>keiyakuid292</vt:lpstr>
      <vt:lpstr>keiyakuid293</vt:lpstr>
      <vt:lpstr>keiyakuid294</vt:lpstr>
      <vt:lpstr>keiyakuid295</vt:lpstr>
      <vt:lpstr>keiyakuid296</vt:lpstr>
      <vt:lpstr>keiyakuid297</vt:lpstr>
      <vt:lpstr>keiyakuid298</vt:lpstr>
      <vt:lpstr>keiyakuid299</vt:lpstr>
      <vt:lpstr>keiyakuid300</vt:lpstr>
      <vt:lpstr>keiyakuid301</vt:lpstr>
      <vt:lpstr>keiyakuid302</vt:lpstr>
      <vt:lpstr>keiyakuid303</vt:lpstr>
      <vt:lpstr>keiyakuid304</vt:lpstr>
      <vt:lpstr>keiyakuid305</vt:lpstr>
      <vt:lpstr>keiyakuid306</vt:lpstr>
      <vt:lpstr>keiyakuid307</vt:lpstr>
      <vt:lpstr>keiyakuid308</vt:lpstr>
      <vt:lpstr>keiyakuid309</vt:lpstr>
      <vt:lpstr>keiyakuid310</vt:lpstr>
      <vt:lpstr>keiyakuid311</vt:lpstr>
      <vt:lpstr>keiyakuid312</vt:lpstr>
      <vt:lpstr>keiyakuid313</vt:lpstr>
      <vt:lpstr>keiyakuid314</vt:lpstr>
      <vt:lpstr>keiyakuid315</vt:lpstr>
      <vt:lpstr>keiyakuid316</vt:lpstr>
      <vt:lpstr>keiyakuid317</vt:lpstr>
      <vt:lpstr>keiyakuid318</vt:lpstr>
      <vt:lpstr>keiyakuid319</vt:lpstr>
      <vt:lpstr>keiyakuid320</vt:lpstr>
      <vt:lpstr>keiyakuid321</vt:lpstr>
      <vt:lpstr>keiyakuid322</vt:lpstr>
      <vt:lpstr>keiyakuid323</vt:lpstr>
      <vt:lpstr>keiyakuid324</vt:lpstr>
      <vt:lpstr>keiyakuid325</vt:lpstr>
      <vt:lpstr>keiyakuid326</vt:lpstr>
      <vt:lpstr>keiyakuid327</vt:lpstr>
      <vt:lpstr>keiyakuid328</vt:lpstr>
      <vt:lpstr>keiyakuid329</vt:lpstr>
      <vt:lpstr>keiyakuid330</vt:lpstr>
      <vt:lpstr>keiyakuid331</vt:lpstr>
      <vt:lpstr>keiyakuid332</vt:lpstr>
      <vt:lpstr>keiyakuid333</vt:lpstr>
      <vt:lpstr>keiyakuid334</vt:lpstr>
      <vt:lpstr>keiyakuid335</vt:lpstr>
      <vt:lpstr>keiyakuid336</vt:lpstr>
      <vt:lpstr>keiyakuid337</vt:lpstr>
      <vt:lpstr>keiyakuid338</vt:lpstr>
      <vt:lpstr>keiyakuid339</vt:lpstr>
      <vt:lpstr>keiyakuid340</vt:lpstr>
      <vt:lpstr>keiyakuid341</vt:lpstr>
      <vt:lpstr>keiyakuid342</vt:lpstr>
      <vt:lpstr>keiyakuid343</vt:lpstr>
      <vt:lpstr>keiyakuid344</vt:lpstr>
      <vt:lpstr>keiyakuid345</vt:lpstr>
      <vt:lpstr>keiyakuid346</vt:lpstr>
      <vt:lpstr>keiyakuid347</vt:lpstr>
      <vt:lpstr>keiyakuid348</vt:lpstr>
      <vt:lpstr>keiyakuid349</vt:lpstr>
      <vt:lpstr>keiyakuid350</vt:lpstr>
      <vt:lpstr>keiyakuid351</vt:lpstr>
      <vt:lpstr>keiyakuid352</vt:lpstr>
      <vt:lpstr>keiyakuid353</vt:lpstr>
      <vt:lpstr>keiyakuid354</vt:lpstr>
      <vt:lpstr>keiyakuid355</vt:lpstr>
      <vt:lpstr>keiyakuid356</vt:lpstr>
      <vt:lpstr>keiyakuid357</vt:lpstr>
      <vt:lpstr>keiyakuid358</vt:lpstr>
      <vt:lpstr>keiyakuid359</vt:lpstr>
      <vt:lpstr>keiyakuid360</vt:lpstr>
      <vt:lpstr>keiyakuid361</vt:lpstr>
      <vt:lpstr>keiyakuid362</vt:lpstr>
      <vt:lpstr>keiyakuid363</vt:lpstr>
      <vt:lpstr>keiyakuid364</vt:lpstr>
      <vt:lpstr>keiyakuid365</vt:lpstr>
      <vt:lpstr>keiyakuid366</vt:lpstr>
      <vt:lpstr>keiyakuid367</vt:lpstr>
      <vt:lpstr>keiyakuid368</vt:lpstr>
      <vt:lpstr>keiyakuid369</vt:lpstr>
      <vt:lpstr>keiyakuid370</vt:lpstr>
      <vt:lpstr>keiyakuid371</vt:lpstr>
      <vt:lpstr>keiyakuid372</vt:lpstr>
      <vt:lpstr>keiyakuid373</vt:lpstr>
      <vt:lpstr>keiyakuid374</vt:lpstr>
      <vt:lpstr>keiyakuid375</vt:lpstr>
      <vt:lpstr>keiyakuid376</vt:lpstr>
      <vt:lpstr>keiyakuid377</vt:lpstr>
      <vt:lpstr>keiyakuid378</vt:lpstr>
      <vt:lpstr>keiyakuid379</vt:lpstr>
      <vt:lpstr>keiyakuid380</vt:lpstr>
      <vt:lpstr>keiyakuid381</vt:lpstr>
      <vt:lpstr>keiyakuid382</vt:lpstr>
      <vt:lpstr>keiyakuid383</vt:lpstr>
      <vt:lpstr>keiyakuid384</vt:lpstr>
      <vt:lpstr>keiyakuid385</vt:lpstr>
      <vt:lpstr>keiyakuid386</vt:lpstr>
      <vt:lpstr>keiyakuid387</vt:lpstr>
      <vt:lpstr>keiyakuid388</vt:lpstr>
      <vt:lpstr>keiyakuid389</vt:lpstr>
      <vt:lpstr>keiyakuid390</vt:lpstr>
      <vt:lpstr>keiyakuid391</vt:lpstr>
      <vt:lpstr>keiyakuid392</vt:lpstr>
      <vt:lpstr>keiyakuid393</vt:lpstr>
      <vt:lpstr>keiyakuid394</vt:lpstr>
      <vt:lpstr>keiyakuid395</vt:lpstr>
      <vt:lpstr>keiyakuid396</vt:lpstr>
      <vt:lpstr>keiyakuid397</vt:lpstr>
      <vt:lpstr>keiyakuid398</vt:lpstr>
      <vt:lpstr>keiyakuid399</vt:lpstr>
      <vt:lpstr>keiyakuid400</vt:lpstr>
      <vt:lpstr>keiyakuid401</vt:lpstr>
      <vt:lpstr>keiyakuid402</vt:lpstr>
      <vt:lpstr>keiyakuid403</vt:lpstr>
      <vt:lpstr>keiyakuid404</vt:lpstr>
      <vt:lpstr>keiyakuid405</vt:lpstr>
      <vt:lpstr>keiyakuid406</vt:lpstr>
      <vt:lpstr>keiyakuid407</vt:lpstr>
      <vt:lpstr>keiyakuid408</vt:lpstr>
      <vt:lpstr>keiyakuid409</vt:lpstr>
      <vt:lpstr>keiyakuid410</vt:lpstr>
      <vt:lpstr>keiyakuid411</vt:lpstr>
      <vt:lpstr>keiyakuid412</vt:lpstr>
      <vt:lpstr>keiyakuid413</vt:lpstr>
      <vt:lpstr>keiyakuid414</vt:lpstr>
      <vt:lpstr>keiyakuid415</vt:lpstr>
      <vt:lpstr>keiyakuid416</vt:lpstr>
      <vt:lpstr>keiyakuid417</vt:lpstr>
      <vt:lpstr>keiyakuid418</vt:lpstr>
      <vt:lpstr>keiyakuid419</vt:lpstr>
      <vt:lpstr>keiyakuid420</vt:lpstr>
      <vt:lpstr>keiyakuid421</vt:lpstr>
      <vt:lpstr>keiyakuid422</vt:lpstr>
      <vt:lpstr>keiyakuid423</vt:lpstr>
      <vt:lpstr>keiyakuid424</vt:lpstr>
      <vt:lpstr>keiyakuid425</vt:lpstr>
      <vt:lpstr>keiyakuid426</vt:lpstr>
      <vt:lpstr>keiyakuid427</vt:lpstr>
      <vt:lpstr>keiyakuid428</vt:lpstr>
      <vt:lpstr>keiyakuid429</vt:lpstr>
      <vt:lpstr>keiyakuid430</vt:lpstr>
      <vt:lpstr>keiyakuid431</vt:lpstr>
      <vt:lpstr>keiyakuid432</vt:lpstr>
      <vt:lpstr>keiyakuid433</vt:lpstr>
      <vt:lpstr>keiyakuid434</vt:lpstr>
      <vt:lpstr>keiyakuid435</vt:lpstr>
      <vt:lpstr>keiyakuid436</vt:lpstr>
      <vt:lpstr>keiyakuid437</vt:lpstr>
      <vt:lpstr>keiyakuid438</vt:lpstr>
      <vt:lpstr>keiyakuid439</vt:lpstr>
      <vt:lpstr>keiyakuid440</vt:lpstr>
      <vt:lpstr>keiyakuid441</vt:lpstr>
      <vt:lpstr>keiyakuid442</vt:lpstr>
      <vt:lpstr>keiyakuid443</vt:lpstr>
      <vt:lpstr>keiyakuid444</vt:lpstr>
      <vt:lpstr>keiyakuid445</vt:lpstr>
      <vt:lpstr>keiyakuid446</vt:lpstr>
      <vt:lpstr>keiyakuid447</vt:lpstr>
      <vt:lpstr>keiyakuid448</vt:lpstr>
      <vt:lpstr>keiyakuid449</vt:lpstr>
      <vt:lpstr>keiyakuid450</vt:lpstr>
      <vt:lpstr>keiyakuid451</vt:lpstr>
      <vt:lpstr>keiyakuid452</vt:lpstr>
      <vt:lpstr>keiyakuid453</vt:lpstr>
      <vt:lpstr>keiyakuid454</vt:lpstr>
      <vt:lpstr>keiyakuid455</vt:lpstr>
      <vt:lpstr>keiyakuid456</vt:lpstr>
      <vt:lpstr>keiyakuid457</vt:lpstr>
      <vt:lpstr>keiyakuid458</vt:lpstr>
      <vt:lpstr>keiyakuid459</vt:lpstr>
      <vt:lpstr>keiyakuid460</vt:lpstr>
      <vt:lpstr>keiyakuid461</vt:lpstr>
      <vt:lpstr>keiyakuid462</vt:lpstr>
      <vt:lpstr>keiyakuid463</vt:lpstr>
      <vt:lpstr>keiyakuid464</vt:lpstr>
      <vt:lpstr>keiyakuid465</vt:lpstr>
      <vt:lpstr>keiyakuid466</vt:lpstr>
      <vt:lpstr>keiyakuid467</vt:lpstr>
      <vt:lpstr>keiyakuid468</vt:lpstr>
      <vt:lpstr>keiyakuid469</vt:lpstr>
      <vt:lpstr>keiyakuid470</vt:lpstr>
      <vt:lpstr>keiyakuid471</vt:lpstr>
      <vt:lpstr>keiyakuid472</vt:lpstr>
      <vt:lpstr>keiyakuid473</vt:lpstr>
      <vt:lpstr>keiyakuid474</vt:lpstr>
      <vt:lpstr>keiyakuid475</vt:lpstr>
      <vt:lpstr>keiyakuid476</vt:lpstr>
      <vt:lpstr>keiyakuid477</vt:lpstr>
      <vt:lpstr>keiyakuid478</vt:lpstr>
      <vt:lpstr>keiyakuid479</vt:lpstr>
      <vt:lpstr>keiyakuid480</vt:lpstr>
      <vt:lpstr>keiyakuid481</vt:lpstr>
      <vt:lpstr>keiyakuid482</vt:lpstr>
      <vt:lpstr>keiyakuid483</vt:lpstr>
      <vt:lpstr>keiyakuid484</vt:lpstr>
      <vt:lpstr>keiyakuid485</vt:lpstr>
      <vt:lpstr>keiyakuid486</vt:lpstr>
      <vt:lpstr>keiyakuid487</vt:lpstr>
      <vt:lpstr>keiyakuid488</vt:lpstr>
      <vt:lpstr>keiyakuid489</vt:lpstr>
      <vt:lpstr>keiyakuid490</vt:lpstr>
      <vt:lpstr>keiyakuid491</vt:lpstr>
      <vt:lpstr>keiyakuid492</vt:lpstr>
      <vt:lpstr>keiyakuid493</vt:lpstr>
      <vt:lpstr>keiyakuid494</vt:lpstr>
      <vt:lpstr>keiyakuid495</vt:lpstr>
      <vt:lpstr>keiyakuid496</vt:lpstr>
      <vt:lpstr>keiyakuid497</vt:lpstr>
      <vt:lpstr>keiyakuid498</vt:lpstr>
      <vt:lpstr>keiyakuid499</vt:lpstr>
      <vt:lpstr>keiyakuid500</vt:lpstr>
      <vt:lpstr>meigiHenkou</vt:lpstr>
      <vt:lpstr>moushikubun001</vt:lpstr>
      <vt:lpstr>moushikubun002</vt:lpstr>
      <vt:lpstr>moushikubun003</vt:lpstr>
      <vt:lpstr>moushikubun004</vt:lpstr>
      <vt:lpstr>moushikubun005</vt:lpstr>
      <vt:lpstr>moushikubun006</vt:lpstr>
      <vt:lpstr>moushikubun007</vt:lpstr>
      <vt:lpstr>moushikubun008</vt:lpstr>
      <vt:lpstr>moushikubun009</vt:lpstr>
      <vt:lpstr>moushikubun010</vt:lpstr>
      <vt:lpstr>moushikubun011</vt:lpstr>
      <vt:lpstr>moushikubun012</vt:lpstr>
      <vt:lpstr>moushikubun013</vt:lpstr>
      <vt:lpstr>moushikubun014</vt:lpstr>
      <vt:lpstr>moushikubun015</vt:lpstr>
      <vt:lpstr>moushikubun016</vt:lpstr>
      <vt:lpstr>moushikubun017</vt:lpstr>
      <vt:lpstr>moushikubun018</vt:lpstr>
      <vt:lpstr>moushikubun019</vt:lpstr>
      <vt:lpstr>moushikubun020</vt:lpstr>
      <vt:lpstr>moushikubun021</vt:lpstr>
      <vt:lpstr>moushikubun022</vt:lpstr>
      <vt:lpstr>moushikubun023</vt:lpstr>
      <vt:lpstr>moushikubun024</vt:lpstr>
      <vt:lpstr>moushikubun025</vt:lpstr>
      <vt:lpstr>moushikubun026</vt:lpstr>
      <vt:lpstr>moushikubun027</vt:lpstr>
      <vt:lpstr>moushikubun028</vt:lpstr>
      <vt:lpstr>moushikubun029</vt:lpstr>
      <vt:lpstr>moushikubun030</vt:lpstr>
      <vt:lpstr>moushikubun031</vt:lpstr>
      <vt:lpstr>moushikubun032</vt:lpstr>
      <vt:lpstr>moushikubun033</vt:lpstr>
      <vt:lpstr>moushikubun034</vt:lpstr>
      <vt:lpstr>moushikubun035</vt:lpstr>
      <vt:lpstr>moushikubun036</vt:lpstr>
      <vt:lpstr>moushikubun037</vt:lpstr>
      <vt:lpstr>moushikubun038</vt:lpstr>
      <vt:lpstr>moushikubun039</vt:lpstr>
      <vt:lpstr>moushikubun040</vt:lpstr>
      <vt:lpstr>moushikubun041</vt:lpstr>
      <vt:lpstr>moushikubun042</vt:lpstr>
      <vt:lpstr>moushikubun043</vt:lpstr>
      <vt:lpstr>moushikubun044</vt:lpstr>
      <vt:lpstr>moushikubun045</vt:lpstr>
      <vt:lpstr>moushikubun046</vt:lpstr>
      <vt:lpstr>moushikubun047</vt:lpstr>
      <vt:lpstr>moushikubun048</vt:lpstr>
      <vt:lpstr>moushikubun049</vt:lpstr>
      <vt:lpstr>moushikubun050</vt:lpstr>
      <vt:lpstr>moushikubun051</vt:lpstr>
      <vt:lpstr>moushikubun052</vt:lpstr>
      <vt:lpstr>moushikubun053</vt:lpstr>
      <vt:lpstr>moushikubun054</vt:lpstr>
      <vt:lpstr>moushikubun055</vt:lpstr>
      <vt:lpstr>moushikubun056</vt:lpstr>
      <vt:lpstr>moushikubun057</vt:lpstr>
      <vt:lpstr>moushikubun058</vt:lpstr>
      <vt:lpstr>moushikubun059</vt:lpstr>
      <vt:lpstr>moushikubun060</vt:lpstr>
      <vt:lpstr>moushikubun061</vt:lpstr>
      <vt:lpstr>moushikubun062</vt:lpstr>
      <vt:lpstr>moushikubun063</vt:lpstr>
      <vt:lpstr>moushikubun064</vt:lpstr>
      <vt:lpstr>moushikubun065</vt:lpstr>
      <vt:lpstr>moushikubun066</vt:lpstr>
      <vt:lpstr>moushikubun067</vt:lpstr>
      <vt:lpstr>moushikubun068</vt:lpstr>
      <vt:lpstr>moushikubun069</vt:lpstr>
      <vt:lpstr>moushikubun070</vt:lpstr>
      <vt:lpstr>moushikubun071</vt:lpstr>
      <vt:lpstr>moushikubun072</vt:lpstr>
      <vt:lpstr>moushikubun073</vt:lpstr>
      <vt:lpstr>moushikubun074</vt:lpstr>
      <vt:lpstr>moushikubun075</vt:lpstr>
      <vt:lpstr>moushikubun076</vt:lpstr>
      <vt:lpstr>moushikubun077</vt:lpstr>
      <vt:lpstr>moushikubun078</vt:lpstr>
      <vt:lpstr>moushikubun079</vt:lpstr>
      <vt:lpstr>moushikubun080</vt:lpstr>
      <vt:lpstr>moushikubun081</vt:lpstr>
      <vt:lpstr>moushikubun082</vt:lpstr>
      <vt:lpstr>moushikubun083</vt:lpstr>
      <vt:lpstr>moushikubun084</vt:lpstr>
      <vt:lpstr>moushikubun085</vt:lpstr>
      <vt:lpstr>moushikubun086</vt:lpstr>
      <vt:lpstr>moushikubun087</vt:lpstr>
      <vt:lpstr>moushikubun088</vt:lpstr>
      <vt:lpstr>moushikubun089</vt:lpstr>
      <vt:lpstr>moushikubun090</vt:lpstr>
      <vt:lpstr>moushikubun091</vt:lpstr>
      <vt:lpstr>moushikubun092</vt:lpstr>
      <vt:lpstr>moushikubun093</vt:lpstr>
      <vt:lpstr>moushikubun094</vt:lpstr>
      <vt:lpstr>moushikubun095</vt:lpstr>
      <vt:lpstr>moushikubun096</vt:lpstr>
      <vt:lpstr>moushikubun097</vt:lpstr>
      <vt:lpstr>moushikubun098</vt:lpstr>
      <vt:lpstr>moushikubun099</vt:lpstr>
      <vt:lpstr>moushikubun100</vt:lpstr>
      <vt:lpstr>moushikubun101</vt:lpstr>
      <vt:lpstr>moushikubun102</vt:lpstr>
      <vt:lpstr>moushikubun103</vt:lpstr>
      <vt:lpstr>moushikubun104</vt:lpstr>
      <vt:lpstr>moushikubun105</vt:lpstr>
      <vt:lpstr>moushikubun106</vt:lpstr>
      <vt:lpstr>moushikubun107</vt:lpstr>
      <vt:lpstr>moushikubun108</vt:lpstr>
      <vt:lpstr>moushikubun109</vt:lpstr>
      <vt:lpstr>moushikubun110</vt:lpstr>
      <vt:lpstr>moushikubun111</vt:lpstr>
      <vt:lpstr>moushikubun112</vt:lpstr>
      <vt:lpstr>moushikubun113</vt:lpstr>
      <vt:lpstr>moushikubun114</vt:lpstr>
      <vt:lpstr>moushikubun115</vt:lpstr>
      <vt:lpstr>moushikubun116</vt:lpstr>
      <vt:lpstr>moushikubun117</vt:lpstr>
      <vt:lpstr>moushikubun118</vt:lpstr>
      <vt:lpstr>moushikubun119</vt:lpstr>
      <vt:lpstr>moushikubun120</vt:lpstr>
      <vt:lpstr>moushikubun121</vt:lpstr>
      <vt:lpstr>moushikubun122</vt:lpstr>
      <vt:lpstr>moushikubun123</vt:lpstr>
      <vt:lpstr>moushikubun124</vt:lpstr>
      <vt:lpstr>moushikubun125</vt:lpstr>
      <vt:lpstr>moushikubun126</vt:lpstr>
      <vt:lpstr>moushikubun127</vt:lpstr>
      <vt:lpstr>moushikubun128</vt:lpstr>
      <vt:lpstr>moushikubun129</vt:lpstr>
      <vt:lpstr>moushikubun130</vt:lpstr>
      <vt:lpstr>moushikubun131</vt:lpstr>
      <vt:lpstr>moushikubun132</vt:lpstr>
      <vt:lpstr>moushikubun133</vt:lpstr>
      <vt:lpstr>moushikubun134</vt:lpstr>
      <vt:lpstr>moushikubun135</vt:lpstr>
      <vt:lpstr>moushikubun136</vt:lpstr>
      <vt:lpstr>moushikubun137</vt:lpstr>
      <vt:lpstr>moushikubun138</vt:lpstr>
      <vt:lpstr>moushikubun139</vt:lpstr>
      <vt:lpstr>moushikubun140</vt:lpstr>
      <vt:lpstr>moushikubun141</vt:lpstr>
      <vt:lpstr>moushikubun142</vt:lpstr>
      <vt:lpstr>moushikubun143</vt:lpstr>
      <vt:lpstr>moushikubun144</vt:lpstr>
      <vt:lpstr>moushikubun145</vt:lpstr>
      <vt:lpstr>moushikubun146</vt:lpstr>
      <vt:lpstr>moushikubun147</vt:lpstr>
      <vt:lpstr>moushikubun148</vt:lpstr>
      <vt:lpstr>moushikubun149</vt:lpstr>
      <vt:lpstr>moushikubun150</vt:lpstr>
      <vt:lpstr>moushikubun151</vt:lpstr>
      <vt:lpstr>moushikubun152</vt:lpstr>
      <vt:lpstr>moushikubun153</vt:lpstr>
      <vt:lpstr>moushikubun154</vt:lpstr>
      <vt:lpstr>moushikubun155</vt:lpstr>
      <vt:lpstr>moushikubun156</vt:lpstr>
      <vt:lpstr>moushikubun157</vt:lpstr>
      <vt:lpstr>moushikubun158</vt:lpstr>
      <vt:lpstr>moushikubun159</vt:lpstr>
      <vt:lpstr>moushikubun160</vt:lpstr>
      <vt:lpstr>moushikubun161</vt:lpstr>
      <vt:lpstr>moushikubun162</vt:lpstr>
      <vt:lpstr>moushikubun163</vt:lpstr>
      <vt:lpstr>moushikubun164</vt:lpstr>
      <vt:lpstr>moushikubun165</vt:lpstr>
      <vt:lpstr>moushikubun166</vt:lpstr>
      <vt:lpstr>moushikubun167</vt:lpstr>
      <vt:lpstr>moushikubun168</vt:lpstr>
      <vt:lpstr>moushikubun169</vt:lpstr>
      <vt:lpstr>moushikubun170</vt:lpstr>
      <vt:lpstr>moushikubun171</vt:lpstr>
      <vt:lpstr>moushikubun172</vt:lpstr>
      <vt:lpstr>moushikubun173</vt:lpstr>
      <vt:lpstr>moushikubun174</vt:lpstr>
      <vt:lpstr>moushikubun175</vt:lpstr>
      <vt:lpstr>moushikubun176</vt:lpstr>
      <vt:lpstr>moushikubun177</vt:lpstr>
      <vt:lpstr>moushikubun178</vt:lpstr>
      <vt:lpstr>moushikubun179</vt:lpstr>
      <vt:lpstr>moushikubun180</vt:lpstr>
      <vt:lpstr>moushikubun181</vt:lpstr>
      <vt:lpstr>moushikubun182</vt:lpstr>
      <vt:lpstr>moushikubun183</vt:lpstr>
      <vt:lpstr>moushikubun184</vt:lpstr>
      <vt:lpstr>moushikubun185</vt:lpstr>
      <vt:lpstr>moushikubun186</vt:lpstr>
      <vt:lpstr>moushikubun187</vt:lpstr>
      <vt:lpstr>moushikubun188</vt:lpstr>
      <vt:lpstr>moushikubun189</vt:lpstr>
      <vt:lpstr>moushikubun190</vt:lpstr>
      <vt:lpstr>moushikubun191</vt:lpstr>
      <vt:lpstr>moushikubun192</vt:lpstr>
      <vt:lpstr>moushikubun193</vt:lpstr>
      <vt:lpstr>moushikubun194</vt:lpstr>
      <vt:lpstr>moushikubun195</vt:lpstr>
      <vt:lpstr>moushikubun196</vt:lpstr>
      <vt:lpstr>moushikubun197</vt:lpstr>
      <vt:lpstr>moushikubun198</vt:lpstr>
      <vt:lpstr>moushikubun199</vt:lpstr>
      <vt:lpstr>moushikubun200</vt:lpstr>
      <vt:lpstr>moushikubun201</vt:lpstr>
      <vt:lpstr>moushikubun202</vt:lpstr>
      <vt:lpstr>moushikubun203</vt:lpstr>
      <vt:lpstr>moushikubun204</vt:lpstr>
      <vt:lpstr>moushikubun205</vt:lpstr>
      <vt:lpstr>moushikubun206</vt:lpstr>
      <vt:lpstr>moushikubun207</vt:lpstr>
      <vt:lpstr>moushikubun208</vt:lpstr>
      <vt:lpstr>moushikubun209</vt:lpstr>
      <vt:lpstr>moushikubun210</vt:lpstr>
      <vt:lpstr>moushikubun211</vt:lpstr>
      <vt:lpstr>moushikubun212</vt:lpstr>
      <vt:lpstr>moushikubun213</vt:lpstr>
      <vt:lpstr>moushikubun214</vt:lpstr>
      <vt:lpstr>moushikubun215</vt:lpstr>
      <vt:lpstr>moushikubun216</vt:lpstr>
      <vt:lpstr>moushikubun217</vt:lpstr>
      <vt:lpstr>moushikubun218</vt:lpstr>
      <vt:lpstr>moushikubun219</vt:lpstr>
      <vt:lpstr>moushikubun220</vt:lpstr>
      <vt:lpstr>moushikubun221</vt:lpstr>
      <vt:lpstr>moushikubun222</vt:lpstr>
      <vt:lpstr>moushikubun223</vt:lpstr>
      <vt:lpstr>moushikubun224</vt:lpstr>
      <vt:lpstr>moushikubun225</vt:lpstr>
      <vt:lpstr>moushikubun226</vt:lpstr>
      <vt:lpstr>moushikubun227</vt:lpstr>
      <vt:lpstr>moushikubun228</vt:lpstr>
      <vt:lpstr>moushikubun229</vt:lpstr>
      <vt:lpstr>moushikubun230</vt:lpstr>
      <vt:lpstr>moushikubun231</vt:lpstr>
      <vt:lpstr>moushikubun232</vt:lpstr>
      <vt:lpstr>moushikubun233</vt:lpstr>
      <vt:lpstr>moushikubun234</vt:lpstr>
      <vt:lpstr>moushikubun235</vt:lpstr>
      <vt:lpstr>moushikubun236</vt:lpstr>
      <vt:lpstr>moushikubun237</vt:lpstr>
      <vt:lpstr>moushikubun238</vt:lpstr>
      <vt:lpstr>moushikubun239</vt:lpstr>
      <vt:lpstr>moushikubun240</vt:lpstr>
      <vt:lpstr>moushikubun241</vt:lpstr>
      <vt:lpstr>moushikubun242</vt:lpstr>
      <vt:lpstr>moushikubun243</vt:lpstr>
      <vt:lpstr>moushikubun244</vt:lpstr>
      <vt:lpstr>moushikubun245</vt:lpstr>
      <vt:lpstr>moushikubun246</vt:lpstr>
      <vt:lpstr>moushikubun247</vt:lpstr>
      <vt:lpstr>moushikubun248</vt:lpstr>
      <vt:lpstr>moushikubun249</vt:lpstr>
      <vt:lpstr>moushikubun250</vt:lpstr>
      <vt:lpstr>moushikubun251</vt:lpstr>
      <vt:lpstr>moushikubun252</vt:lpstr>
      <vt:lpstr>moushikubun253</vt:lpstr>
      <vt:lpstr>moushikubun254</vt:lpstr>
      <vt:lpstr>moushikubun255</vt:lpstr>
      <vt:lpstr>moushikubun256</vt:lpstr>
      <vt:lpstr>moushikubun257</vt:lpstr>
      <vt:lpstr>moushikubun258</vt:lpstr>
      <vt:lpstr>moushikubun259</vt:lpstr>
      <vt:lpstr>moushikubun260</vt:lpstr>
      <vt:lpstr>moushikubun261</vt:lpstr>
      <vt:lpstr>moushikubun262</vt:lpstr>
      <vt:lpstr>moushikubun263</vt:lpstr>
      <vt:lpstr>moushikubun264</vt:lpstr>
      <vt:lpstr>moushikubun265</vt:lpstr>
      <vt:lpstr>moushikubun266</vt:lpstr>
      <vt:lpstr>moushikubun267</vt:lpstr>
      <vt:lpstr>moushikubun268</vt:lpstr>
      <vt:lpstr>moushikubun269</vt:lpstr>
      <vt:lpstr>moushikubun270</vt:lpstr>
      <vt:lpstr>moushikubun271</vt:lpstr>
      <vt:lpstr>moushikubun272</vt:lpstr>
      <vt:lpstr>moushikubun273</vt:lpstr>
      <vt:lpstr>moushikubun274</vt:lpstr>
      <vt:lpstr>moushikubun275</vt:lpstr>
      <vt:lpstr>moushikubun276</vt:lpstr>
      <vt:lpstr>moushikubun277</vt:lpstr>
      <vt:lpstr>moushikubun278</vt:lpstr>
      <vt:lpstr>moushikubun279</vt:lpstr>
      <vt:lpstr>moushikubun280</vt:lpstr>
      <vt:lpstr>moushikubun281</vt:lpstr>
      <vt:lpstr>moushikubun282</vt:lpstr>
      <vt:lpstr>moushikubun283</vt:lpstr>
      <vt:lpstr>moushikubun284</vt:lpstr>
      <vt:lpstr>moushikubun285</vt:lpstr>
      <vt:lpstr>moushikubun286</vt:lpstr>
      <vt:lpstr>moushikubun287</vt:lpstr>
      <vt:lpstr>moushikubun288</vt:lpstr>
      <vt:lpstr>moushikubun289</vt:lpstr>
      <vt:lpstr>moushikubun290</vt:lpstr>
      <vt:lpstr>moushikubun291</vt:lpstr>
      <vt:lpstr>moushikubun292</vt:lpstr>
      <vt:lpstr>moushikubun293</vt:lpstr>
      <vt:lpstr>moushikubun294</vt:lpstr>
      <vt:lpstr>moushikubun295</vt:lpstr>
      <vt:lpstr>moushikubun296</vt:lpstr>
      <vt:lpstr>moushikubun297</vt:lpstr>
      <vt:lpstr>moushikubun298</vt:lpstr>
      <vt:lpstr>moushikubun299</vt:lpstr>
      <vt:lpstr>moushikubun300</vt:lpstr>
      <vt:lpstr>moushikubun301</vt:lpstr>
      <vt:lpstr>moushikubun302</vt:lpstr>
      <vt:lpstr>moushikubun303</vt:lpstr>
      <vt:lpstr>moushikubun304</vt:lpstr>
      <vt:lpstr>moushikubun305</vt:lpstr>
      <vt:lpstr>moushikubun306</vt:lpstr>
      <vt:lpstr>moushikubun307</vt:lpstr>
      <vt:lpstr>moushikubun308</vt:lpstr>
      <vt:lpstr>moushikubun309</vt:lpstr>
      <vt:lpstr>moushikubun310</vt:lpstr>
      <vt:lpstr>moushikubun311</vt:lpstr>
      <vt:lpstr>moushikubun312</vt:lpstr>
      <vt:lpstr>moushikubun313</vt:lpstr>
      <vt:lpstr>moushikubun314</vt:lpstr>
      <vt:lpstr>moushikubun315</vt:lpstr>
      <vt:lpstr>moushikubun316</vt:lpstr>
      <vt:lpstr>moushikubun317</vt:lpstr>
      <vt:lpstr>moushikubun318</vt:lpstr>
      <vt:lpstr>moushikubun319</vt:lpstr>
      <vt:lpstr>moushikubun320</vt:lpstr>
      <vt:lpstr>moushikubun321</vt:lpstr>
      <vt:lpstr>moushikubun322</vt:lpstr>
      <vt:lpstr>moushikubun323</vt:lpstr>
      <vt:lpstr>moushikubun324</vt:lpstr>
      <vt:lpstr>moushikubun325</vt:lpstr>
      <vt:lpstr>moushikubun326</vt:lpstr>
      <vt:lpstr>moushikubun327</vt:lpstr>
      <vt:lpstr>moushikubun328</vt:lpstr>
      <vt:lpstr>moushikubun329</vt:lpstr>
      <vt:lpstr>moushikubun330</vt:lpstr>
      <vt:lpstr>moushikubun331</vt:lpstr>
      <vt:lpstr>moushikubun332</vt:lpstr>
      <vt:lpstr>moushikubun333</vt:lpstr>
      <vt:lpstr>moushikubun334</vt:lpstr>
      <vt:lpstr>moushikubun335</vt:lpstr>
      <vt:lpstr>moushikubun336</vt:lpstr>
      <vt:lpstr>moushikubun337</vt:lpstr>
      <vt:lpstr>moushikubun338</vt:lpstr>
      <vt:lpstr>moushikubun339</vt:lpstr>
      <vt:lpstr>moushikubun340</vt:lpstr>
      <vt:lpstr>moushikubun341</vt:lpstr>
      <vt:lpstr>moushikubun342</vt:lpstr>
      <vt:lpstr>moushikubun343</vt:lpstr>
      <vt:lpstr>moushikubun344</vt:lpstr>
      <vt:lpstr>moushikubun345</vt:lpstr>
      <vt:lpstr>moushikubun346</vt:lpstr>
      <vt:lpstr>moushikubun347</vt:lpstr>
      <vt:lpstr>moushikubun348</vt:lpstr>
      <vt:lpstr>moushikubun349</vt:lpstr>
      <vt:lpstr>moushikubun350</vt:lpstr>
      <vt:lpstr>moushikubun351</vt:lpstr>
      <vt:lpstr>moushikubun352</vt:lpstr>
      <vt:lpstr>moushikubun353</vt:lpstr>
      <vt:lpstr>moushikubun354</vt:lpstr>
      <vt:lpstr>moushikubun355</vt:lpstr>
      <vt:lpstr>moushikubun356</vt:lpstr>
      <vt:lpstr>moushikubun357</vt:lpstr>
      <vt:lpstr>moushikubun358</vt:lpstr>
      <vt:lpstr>moushikubun359</vt:lpstr>
      <vt:lpstr>moushikubun360</vt:lpstr>
      <vt:lpstr>moushikubun361</vt:lpstr>
      <vt:lpstr>moushikubun362</vt:lpstr>
      <vt:lpstr>moushikubun363</vt:lpstr>
      <vt:lpstr>moushikubun364</vt:lpstr>
      <vt:lpstr>moushikubun365</vt:lpstr>
      <vt:lpstr>moushikubun366</vt:lpstr>
      <vt:lpstr>moushikubun367</vt:lpstr>
      <vt:lpstr>moushikubun368</vt:lpstr>
      <vt:lpstr>moushikubun369</vt:lpstr>
      <vt:lpstr>moushikubun370</vt:lpstr>
      <vt:lpstr>moushikubun371</vt:lpstr>
      <vt:lpstr>moushikubun372</vt:lpstr>
      <vt:lpstr>moushikubun373</vt:lpstr>
      <vt:lpstr>moushikubun374</vt:lpstr>
      <vt:lpstr>moushikubun375</vt:lpstr>
      <vt:lpstr>moushikubun376</vt:lpstr>
      <vt:lpstr>moushikubun377</vt:lpstr>
      <vt:lpstr>moushikubun378</vt:lpstr>
      <vt:lpstr>moushikubun379</vt:lpstr>
      <vt:lpstr>moushikubun380</vt:lpstr>
      <vt:lpstr>moushikubun381</vt:lpstr>
      <vt:lpstr>moushikubun382</vt:lpstr>
      <vt:lpstr>moushikubun383</vt:lpstr>
      <vt:lpstr>moushikubun384</vt:lpstr>
      <vt:lpstr>moushikubun385</vt:lpstr>
      <vt:lpstr>moushikubun386</vt:lpstr>
      <vt:lpstr>moushikubun387</vt:lpstr>
      <vt:lpstr>moushikubun388</vt:lpstr>
      <vt:lpstr>moushikubun389</vt:lpstr>
      <vt:lpstr>moushikubun390</vt:lpstr>
      <vt:lpstr>moushikubun391</vt:lpstr>
      <vt:lpstr>moushikubun392</vt:lpstr>
      <vt:lpstr>moushikubun393</vt:lpstr>
      <vt:lpstr>moushikubun394</vt:lpstr>
      <vt:lpstr>moushikubun395</vt:lpstr>
      <vt:lpstr>moushikubun396</vt:lpstr>
      <vt:lpstr>moushikubun397</vt:lpstr>
      <vt:lpstr>moushikubun398</vt:lpstr>
      <vt:lpstr>moushikubun399</vt:lpstr>
      <vt:lpstr>moushikubun400</vt:lpstr>
      <vt:lpstr>moushikubun401</vt:lpstr>
      <vt:lpstr>moushikubun402</vt:lpstr>
      <vt:lpstr>moushikubun403</vt:lpstr>
      <vt:lpstr>moushikubun404</vt:lpstr>
      <vt:lpstr>moushikubun405</vt:lpstr>
      <vt:lpstr>moushikubun406</vt:lpstr>
      <vt:lpstr>moushikubun407</vt:lpstr>
      <vt:lpstr>moushikubun408</vt:lpstr>
      <vt:lpstr>moushikubun409</vt:lpstr>
      <vt:lpstr>moushikubun410</vt:lpstr>
      <vt:lpstr>moushikubun411</vt:lpstr>
      <vt:lpstr>moushikubun412</vt:lpstr>
      <vt:lpstr>moushikubun413</vt:lpstr>
      <vt:lpstr>moushikubun414</vt:lpstr>
      <vt:lpstr>moushikubun415</vt:lpstr>
      <vt:lpstr>moushikubun416</vt:lpstr>
      <vt:lpstr>moushikubun417</vt:lpstr>
      <vt:lpstr>moushikubun418</vt:lpstr>
      <vt:lpstr>moushikubun419</vt:lpstr>
      <vt:lpstr>moushikubun420</vt:lpstr>
      <vt:lpstr>moushikubun421</vt:lpstr>
      <vt:lpstr>moushikubun422</vt:lpstr>
      <vt:lpstr>moushikubun423</vt:lpstr>
      <vt:lpstr>moushikubun424</vt:lpstr>
      <vt:lpstr>moushikubun425</vt:lpstr>
      <vt:lpstr>moushikubun426</vt:lpstr>
      <vt:lpstr>moushikubun427</vt:lpstr>
      <vt:lpstr>moushikubun428</vt:lpstr>
      <vt:lpstr>moushikubun429</vt:lpstr>
      <vt:lpstr>moushikubun430</vt:lpstr>
      <vt:lpstr>moushikubun431</vt:lpstr>
      <vt:lpstr>moushikubun432</vt:lpstr>
      <vt:lpstr>moushikubun433</vt:lpstr>
      <vt:lpstr>moushikubun434</vt:lpstr>
      <vt:lpstr>moushikubun435</vt:lpstr>
      <vt:lpstr>moushikubun436</vt:lpstr>
      <vt:lpstr>moushikubun437</vt:lpstr>
      <vt:lpstr>moushikubun438</vt:lpstr>
      <vt:lpstr>moushikubun439</vt:lpstr>
      <vt:lpstr>moushikubun440</vt:lpstr>
      <vt:lpstr>moushikubun441</vt:lpstr>
      <vt:lpstr>moushikubun442</vt:lpstr>
      <vt:lpstr>moushikubun443</vt:lpstr>
      <vt:lpstr>moushikubun444</vt:lpstr>
      <vt:lpstr>moushikubun445</vt:lpstr>
      <vt:lpstr>moushikubun446</vt:lpstr>
      <vt:lpstr>moushikubun447</vt:lpstr>
      <vt:lpstr>moushikubun448</vt:lpstr>
      <vt:lpstr>moushikubun449</vt:lpstr>
      <vt:lpstr>moushikubun450</vt:lpstr>
      <vt:lpstr>moushikubun451</vt:lpstr>
      <vt:lpstr>moushikubun452</vt:lpstr>
      <vt:lpstr>moushikubun453</vt:lpstr>
      <vt:lpstr>moushikubun454</vt:lpstr>
      <vt:lpstr>moushikubun455</vt:lpstr>
      <vt:lpstr>moushikubun456</vt:lpstr>
      <vt:lpstr>moushikubun457</vt:lpstr>
      <vt:lpstr>moushikubun458</vt:lpstr>
      <vt:lpstr>moushikubun459</vt:lpstr>
      <vt:lpstr>moushikubun460</vt:lpstr>
      <vt:lpstr>moushikubun461</vt:lpstr>
      <vt:lpstr>moushikubun462</vt:lpstr>
      <vt:lpstr>moushikubun463</vt:lpstr>
      <vt:lpstr>moushikubun464</vt:lpstr>
      <vt:lpstr>moushikubun465</vt:lpstr>
      <vt:lpstr>moushikubun466</vt:lpstr>
      <vt:lpstr>moushikubun467</vt:lpstr>
      <vt:lpstr>moushikubun468</vt:lpstr>
      <vt:lpstr>moushikubun469</vt:lpstr>
      <vt:lpstr>moushikubun470</vt:lpstr>
      <vt:lpstr>moushikubun471</vt:lpstr>
      <vt:lpstr>moushikubun472</vt:lpstr>
      <vt:lpstr>moushikubun473</vt:lpstr>
      <vt:lpstr>moushikubun474</vt:lpstr>
      <vt:lpstr>moushikubun475</vt:lpstr>
      <vt:lpstr>moushikubun476</vt:lpstr>
      <vt:lpstr>moushikubun477</vt:lpstr>
      <vt:lpstr>moushikubun478</vt:lpstr>
      <vt:lpstr>moushikubun479</vt:lpstr>
      <vt:lpstr>moushikubun480</vt:lpstr>
      <vt:lpstr>moushikubun481</vt:lpstr>
      <vt:lpstr>moushikubun482</vt:lpstr>
      <vt:lpstr>moushikubun483</vt:lpstr>
      <vt:lpstr>moushikubun484</vt:lpstr>
      <vt:lpstr>moushikubun485</vt:lpstr>
      <vt:lpstr>moushikubun486</vt:lpstr>
      <vt:lpstr>moushikubun487</vt:lpstr>
      <vt:lpstr>moushikubun488</vt:lpstr>
      <vt:lpstr>moushikubun489</vt:lpstr>
      <vt:lpstr>moushikubun490</vt:lpstr>
      <vt:lpstr>moushikubun491</vt:lpstr>
      <vt:lpstr>moushikubun492</vt:lpstr>
      <vt:lpstr>moushikubun493</vt:lpstr>
      <vt:lpstr>moushikubun494</vt:lpstr>
      <vt:lpstr>moushikubun495</vt:lpstr>
      <vt:lpstr>moushikubun496</vt:lpstr>
      <vt:lpstr>moushikubun497</vt:lpstr>
      <vt:lpstr>moushikubun498</vt:lpstr>
      <vt:lpstr>moushikubun499</vt:lpstr>
      <vt:lpstr>moushikubun500</vt:lpstr>
      <vt:lpstr>変更お申込書!Print_Area</vt:lpstr>
      <vt:lpstr>salesChannelDeptName</vt:lpstr>
      <vt:lpstr>salesChannelMailAddress</vt:lpstr>
      <vt:lpstr>salesChannelPersonName</vt:lpstr>
      <vt:lpstr>salesChannelPhoneNumber</vt:lpstr>
      <vt:lpstr>shubetsu001</vt:lpstr>
      <vt:lpstr>shubetsu002</vt:lpstr>
      <vt:lpstr>shubetsu003</vt:lpstr>
      <vt:lpstr>shubetsu004</vt:lpstr>
      <vt:lpstr>shubetsu005</vt:lpstr>
      <vt:lpstr>shubetsu006</vt:lpstr>
      <vt:lpstr>shubetsu007</vt:lpstr>
      <vt:lpstr>shubetsu008</vt:lpstr>
      <vt:lpstr>shubetsu009</vt:lpstr>
      <vt:lpstr>shubetsu010</vt:lpstr>
      <vt:lpstr>shubetsu011</vt:lpstr>
      <vt:lpstr>shubetsu012</vt:lpstr>
      <vt:lpstr>shubetsu013</vt:lpstr>
      <vt:lpstr>shubetsu014</vt:lpstr>
      <vt:lpstr>shubetsu015</vt:lpstr>
      <vt:lpstr>shubetsu016</vt:lpstr>
      <vt:lpstr>shubetsu017</vt:lpstr>
      <vt:lpstr>shubetsu018</vt:lpstr>
      <vt:lpstr>shubetsu019</vt:lpstr>
      <vt:lpstr>shubetsu020</vt:lpstr>
      <vt:lpstr>shubetsu021</vt:lpstr>
      <vt:lpstr>shubetsu022</vt:lpstr>
      <vt:lpstr>shubetsu023</vt:lpstr>
      <vt:lpstr>shubetsu024</vt:lpstr>
      <vt:lpstr>shubetsu025</vt:lpstr>
      <vt:lpstr>shubetsu026</vt:lpstr>
      <vt:lpstr>shubetsu027</vt:lpstr>
      <vt:lpstr>shubetsu028</vt:lpstr>
      <vt:lpstr>shubetsu029</vt:lpstr>
      <vt:lpstr>shubetsu030</vt:lpstr>
      <vt:lpstr>shubetsu031</vt:lpstr>
      <vt:lpstr>shubetsu032</vt:lpstr>
      <vt:lpstr>shubetsu033</vt:lpstr>
      <vt:lpstr>shubetsu034</vt:lpstr>
      <vt:lpstr>shubetsu035</vt:lpstr>
      <vt:lpstr>shubetsu036</vt:lpstr>
      <vt:lpstr>shubetsu037</vt:lpstr>
      <vt:lpstr>shubetsu038</vt:lpstr>
      <vt:lpstr>shubetsu039</vt:lpstr>
      <vt:lpstr>shubetsu040</vt:lpstr>
      <vt:lpstr>shubetsu041</vt:lpstr>
      <vt:lpstr>shubetsu042</vt:lpstr>
      <vt:lpstr>shubetsu043</vt:lpstr>
      <vt:lpstr>shubetsu044</vt:lpstr>
      <vt:lpstr>shubetsu045</vt:lpstr>
      <vt:lpstr>shubetsu046</vt:lpstr>
      <vt:lpstr>shubetsu047</vt:lpstr>
      <vt:lpstr>shubetsu048</vt:lpstr>
      <vt:lpstr>shubetsu049</vt:lpstr>
      <vt:lpstr>shubetsu050</vt:lpstr>
      <vt:lpstr>shubetsu051</vt:lpstr>
      <vt:lpstr>shubetsu052</vt:lpstr>
      <vt:lpstr>shubetsu053</vt:lpstr>
      <vt:lpstr>shubetsu054</vt:lpstr>
      <vt:lpstr>shubetsu055</vt:lpstr>
      <vt:lpstr>shubetsu056</vt:lpstr>
      <vt:lpstr>shubetsu057</vt:lpstr>
      <vt:lpstr>shubetsu058</vt:lpstr>
      <vt:lpstr>shubetsu059</vt:lpstr>
      <vt:lpstr>shubetsu060</vt:lpstr>
      <vt:lpstr>shubetsu061</vt:lpstr>
      <vt:lpstr>shubetsu062</vt:lpstr>
      <vt:lpstr>shubetsu063</vt:lpstr>
      <vt:lpstr>shubetsu064</vt:lpstr>
      <vt:lpstr>shubetsu065</vt:lpstr>
      <vt:lpstr>shubetsu066</vt:lpstr>
      <vt:lpstr>shubetsu067</vt:lpstr>
      <vt:lpstr>shubetsu068</vt:lpstr>
      <vt:lpstr>shubetsu069</vt:lpstr>
      <vt:lpstr>shubetsu070</vt:lpstr>
      <vt:lpstr>shubetsu071</vt:lpstr>
      <vt:lpstr>shubetsu072</vt:lpstr>
      <vt:lpstr>shubetsu073</vt:lpstr>
      <vt:lpstr>shubetsu074</vt:lpstr>
      <vt:lpstr>shubetsu075</vt:lpstr>
      <vt:lpstr>shubetsu076</vt:lpstr>
      <vt:lpstr>shubetsu077</vt:lpstr>
      <vt:lpstr>shubetsu078</vt:lpstr>
      <vt:lpstr>shubetsu079</vt:lpstr>
      <vt:lpstr>shubetsu080</vt:lpstr>
      <vt:lpstr>shubetsu081</vt:lpstr>
      <vt:lpstr>shubetsu082</vt:lpstr>
      <vt:lpstr>shubetsu083</vt:lpstr>
      <vt:lpstr>shubetsu084</vt:lpstr>
      <vt:lpstr>shubetsu085</vt:lpstr>
      <vt:lpstr>shubetsu086</vt:lpstr>
      <vt:lpstr>shubetsu087</vt:lpstr>
      <vt:lpstr>shubetsu088</vt:lpstr>
      <vt:lpstr>shubetsu089</vt:lpstr>
      <vt:lpstr>shubetsu090</vt:lpstr>
      <vt:lpstr>shubetsu091</vt:lpstr>
      <vt:lpstr>shubetsu092</vt:lpstr>
      <vt:lpstr>shubetsu093</vt:lpstr>
      <vt:lpstr>shubetsu094</vt:lpstr>
      <vt:lpstr>shubetsu095</vt:lpstr>
      <vt:lpstr>shubetsu096</vt:lpstr>
      <vt:lpstr>shubetsu097</vt:lpstr>
      <vt:lpstr>shubetsu098</vt:lpstr>
      <vt:lpstr>shubetsu099</vt:lpstr>
      <vt:lpstr>shubetsu100</vt:lpstr>
      <vt:lpstr>shubetsu101</vt:lpstr>
      <vt:lpstr>shubetsu102</vt:lpstr>
      <vt:lpstr>shubetsu103</vt:lpstr>
      <vt:lpstr>shubetsu104</vt:lpstr>
      <vt:lpstr>shubetsu105</vt:lpstr>
      <vt:lpstr>shubetsu106</vt:lpstr>
      <vt:lpstr>shubetsu107</vt:lpstr>
      <vt:lpstr>shubetsu108</vt:lpstr>
      <vt:lpstr>shubetsu109</vt:lpstr>
      <vt:lpstr>shubetsu110</vt:lpstr>
      <vt:lpstr>shubetsu111</vt:lpstr>
      <vt:lpstr>shubetsu112</vt:lpstr>
      <vt:lpstr>shubetsu113</vt:lpstr>
      <vt:lpstr>shubetsu114</vt:lpstr>
      <vt:lpstr>shubetsu115</vt:lpstr>
      <vt:lpstr>shubetsu116</vt:lpstr>
      <vt:lpstr>shubetsu117</vt:lpstr>
      <vt:lpstr>shubetsu118</vt:lpstr>
      <vt:lpstr>shubetsu119</vt:lpstr>
      <vt:lpstr>shubetsu120</vt:lpstr>
      <vt:lpstr>shubetsu121</vt:lpstr>
      <vt:lpstr>shubetsu122</vt:lpstr>
      <vt:lpstr>shubetsu123</vt:lpstr>
      <vt:lpstr>shubetsu124</vt:lpstr>
      <vt:lpstr>shubetsu125</vt:lpstr>
      <vt:lpstr>shubetsu126</vt:lpstr>
      <vt:lpstr>shubetsu127</vt:lpstr>
      <vt:lpstr>shubetsu128</vt:lpstr>
      <vt:lpstr>shubetsu129</vt:lpstr>
      <vt:lpstr>shubetsu130</vt:lpstr>
      <vt:lpstr>shubetsu131</vt:lpstr>
      <vt:lpstr>shubetsu132</vt:lpstr>
      <vt:lpstr>shubetsu133</vt:lpstr>
      <vt:lpstr>shubetsu134</vt:lpstr>
      <vt:lpstr>shubetsu135</vt:lpstr>
      <vt:lpstr>shubetsu136</vt:lpstr>
      <vt:lpstr>shubetsu137</vt:lpstr>
      <vt:lpstr>shubetsu138</vt:lpstr>
      <vt:lpstr>shubetsu139</vt:lpstr>
      <vt:lpstr>shubetsu140</vt:lpstr>
      <vt:lpstr>shubetsu141</vt:lpstr>
      <vt:lpstr>shubetsu142</vt:lpstr>
      <vt:lpstr>shubetsu143</vt:lpstr>
      <vt:lpstr>shubetsu144</vt:lpstr>
      <vt:lpstr>shubetsu145</vt:lpstr>
      <vt:lpstr>shubetsu146</vt:lpstr>
      <vt:lpstr>shubetsu147</vt:lpstr>
      <vt:lpstr>shubetsu148</vt:lpstr>
      <vt:lpstr>shubetsu149</vt:lpstr>
      <vt:lpstr>shubetsu150</vt:lpstr>
      <vt:lpstr>shubetsu151</vt:lpstr>
      <vt:lpstr>shubetsu152</vt:lpstr>
      <vt:lpstr>shubetsu153</vt:lpstr>
      <vt:lpstr>shubetsu154</vt:lpstr>
      <vt:lpstr>shubetsu155</vt:lpstr>
      <vt:lpstr>shubetsu156</vt:lpstr>
      <vt:lpstr>shubetsu157</vt:lpstr>
      <vt:lpstr>shubetsu158</vt:lpstr>
      <vt:lpstr>shubetsu159</vt:lpstr>
      <vt:lpstr>shubetsu160</vt:lpstr>
      <vt:lpstr>shubetsu161</vt:lpstr>
      <vt:lpstr>shubetsu162</vt:lpstr>
      <vt:lpstr>shubetsu163</vt:lpstr>
      <vt:lpstr>shubetsu164</vt:lpstr>
      <vt:lpstr>shubetsu165</vt:lpstr>
      <vt:lpstr>shubetsu166</vt:lpstr>
      <vt:lpstr>shubetsu167</vt:lpstr>
      <vt:lpstr>shubetsu168</vt:lpstr>
      <vt:lpstr>shubetsu169</vt:lpstr>
      <vt:lpstr>shubetsu170</vt:lpstr>
      <vt:lpstr>shubetsu171</vt:lpstr>
      <vt:lpstr>shubetsu172</vt:lpstr>
      <vt:lpstr>shubetsu173</vt:lpstr>
      <vt:lpstr>shubetsu174</vt:lpstr>
      <vt:lpstr>shubetsu175</vt:lpstr>
      <vt:lpstr>shubetsu176</vt:lpstr>
      <vt:lpstr>shubetsu177</vt:lpstr>
      <vt:lpstr>shubetsu178</vt:lpstr>
      <vt:lpstr>shubetsu179</vt:lpstr>
      <vt:lpstr>shubetsu180</vt:lpstr>
      <vt:lpstr>shubetsu181</vt:lpstr>
      <vt:lpstr>shubetsu182</vt:lpstr>
      <vt:lpstr>shubetsu183</vt:lpstr>
      <vt:lpstr>shubetsu184</vt:lpstr>
      <vt:lpstr>shubetsu185</vt:lpstr>
      <vt:lpstr>shubetsu186</vt:lpstr>
      <vt:lpstr>shubetsu187</vt:lpstr>
      <vt:lpstr>shubetsu188</vt:lpstr>
      <vt:lpstr>shubetsu189</vt:lpstr>
      <vt:lpstr>shubetsu190</vt:lpstr>
      <vt:lpstr>shubetsu191</vt:lpstr>
      <vt:lpstr>shubetsu192</vt:lpstr>
      <vt:lpstr>shubetsu193</vt:lpstr>
      <vt:lpstr>shubetsu194</vt:lpstr>
      <vt:lpstr>shubetsu195</vt:lpstr>
      <vt:lpstr>shubetsu196</vt:lpstr>
      <vt:lpstr>shubetsu197</vt:lpstr>
      <vt:lpstr>shubetsu198</vt:lpstr>
      <vt:lpstr>shubetsu199</vt:lpstr>
      <vt:lpstr>shubetsu200</vt:lpstr>
      <vt:lpstr>shubetsu201</vt:lpstr>
      <vt:lpstr>shubetsu202</vt:lpstr>
      <vt:lpstr>shubetsu203</vt:lpstr>
      <vt:lpstr>shubetsu204</vt:lpstr>
      <vt:lpstr>shubetsu205</vt:lpstr>
      <vt:lpstr>shubetsu206</vt:lpstr>
      <vt:lpstr>shubetsu207</vt:lpstr>
      <vt:lpstr>shubetsu208</vt:lpstr>
      <vt:lpstr>shubetsu209</vt:lpstr>
      <vt:lpstr>shubetsu210</vt:lpstr>
      <vt:lpstr>shubetsu211</vt:lpstr>
      <vt:lpstr>shubetsu212</vt:lpstr>
      <vt:lpstr>shubetsu213</vt:lpstr>
      <vt:lpstr>shubetsu214</vt:lpstr>
      <vt:lpstr>shubetsu215</vt:lpstr>
      <vt:lpstr>shubetsu216</vt:lpstr>
      <vt:lpstr>shubetsu217</vt:lpstr>
      <vt:lpstr>shubetsu218</vt:lpstr>
      <vt:lpstr>shubetsu219</vt:lpstr>
      <vt:lpstr>shubetsu220</vt:lpstr>
      <vt:lpstr>shubetsu221</vt:lpstr>
      <vt:lpstr>shubetsu222</vt:lpstr>
      <vt:lpstr>shubetsu223</vt:lpstr>
      <vt:lpstr>shubetsu224</vt:lpstr>
      <vt:lpstr>shubetsu225</vt:lpstr>
      <vt:lpstr>shubetsu226</vt:lpstr>
      <vt:lpstr>shubetsu227</vt:lpstr>
      <vt:lpstr>shubetsu228</vt:lpstr>
      <vt:lpstr>shubetsu229</vt:lpstr>
      <vt:lpstr>shubetsu230</vt:lpstr>
      <vt:lpstr>shubetsu231</vt:lpstr>
      <vt:lpstr>shubetsu232</vt:lpstr>
      <vt:lpstr>shubetsu233</vt:lpstr>
      <vt:lpstr>shubetsu234</vt:lpstr>
      <vt:lpstr>shubetsu235</vt:lpstr>
      <vt:lpstr>shubetsu236</vt:lpstr>
      <vt:lpstr>shubetsu237</vt:lpstr>
      <vt:lpstr>shubetsu238</vt:lpstr>
      <vt:lpstr>shubetsu239</vt:lpstr>
      <vt:lpstr>shubetsu240</vt:lpstr>
      <vt:lpstr>shubetsu241</vt:lpstr>
      <vt:lpstr>shubetsu242</vt:lpstr>
      <vt:lpstr>shubetsu243</vt:lpstr>
      <vt:lpstr>shubetsu244</vt:lpstr>
      <vt:lpstr>shubetsu245</vt:lpstr>
      <vt:lpstr>shubetsu246</vt:lpstr>
      <vt:lpstr>shubetsu247</vt:lpstr>
      <vt:lpstr>shubetsu248</vt:lpstr>
      <vt:lpstr>shubetsu249</vt:lpstr>
      <vt:lpstr>shubetsu250</vt:lpstr>
      <vt:lpstr>shubetsu251</vt:lpstr>
      <vt:lpstr>shubetsu252</vt:lpstr>
      <vt:lpstr>shubetsu253</vt:lpstr>
      <vt:lpstr>shubetsu254</vt:lpstr>
      <vt:lpstr>shubetsu255</vt:lpstr>
      <vt:lpstr>shubetsu256</vt:lpstr>
      <vt:lpstr>shubetsu257</vt:lpstr>
      <vt:lpstr>shubetsu258</vt:lpstr>
      <vt:lpstr>shubetsu259</vt:lpstr>
      <vt:lpstr>shubetsu260</vt:lpstr>
      <vt:lpstr>shubetsu261</vt:lpstr>
      <vt:lpstr>shubetsu262</vt:lpstr>
      <vt:lpstr>shubetsu263</vt:lpstr>
      <vt:lpstr>shubetsu264</vt:lpstr>
      <vt:lpstr>shubetsu265</vt:lpstr>
      <vt:lpstr>shubetsu266</vt:lpstr>
      <vt:lpstr>shubetsu267</vt:lpstr>
      <vt:lpstr>shubetsu268</vt:lpstr>
      <vt:lpstr>shubetsu269</vt:lpstr>
      <vt:lpstr>shubetsu270</vt:lpstr>
      <vt:lpstr>shubetsu271</vt:lpstr>
      <vt:lpstr>shubetsu272</vt:lpstr>
      <vt:lpstr>shubetsu273</vt:lpstr>
      <vt:lpstr>shubetsu274</vt:lpstr>
      <vt:lpstr>shubetsu275</vt:lpstr>
      <vt:lpstr>shubetsu276</vt:lpstr>
      <vt:lpstr>shubetsu277</vt:lpstr>
      <vt:lpstr>shubetsu278</vt:lpstr>
      <vt:lpstr>shubetsu279</vt:lpstr>
      <vt:lpstr>shubetsu280</vt:lpstr>
      <vt:lpstr>shubetsu281</vt:lpstr>
      <vt:lpstr>shubetsu282</vt:lpstr>
      <vt:lpstr>shubetsu283</vt:lpstr>
      <vt:lpstr>shubetsu284</vt:lpstr>
      <vt:lpstr>shubetsu285</vt:lpstr>
      <vt:lpstr>shubetsu286</vt:lpstr>
      <vt:lpstr>shubetsu287</vt:lpstr>
      <vt:lpstr>shubetsu288</vt:lpstr>
      <vt:lpstr>shubetsu289</vt:lpstr>
      <vt:lpstr>shubetsu290</vt:lpstr>
      <vt:lpstr>shubetsu291</vt:lpstr>
      <vt:lpstr>shubetsu292</vt:lpstr>
      <vt:lpstr>shubetsu293</vt:lpstr>
      <vt:lpstr>shubetsu294</vt:lpstr>
      <vt:lpstr>shubetsu295</vt:lpstr>
      <vt:lpstr>shubetsu296</vt:lpstr>
      <vt:lpstr>shubetsu297</vt:lpstr>
      <vt:lpstr>shubetsu298</vt:lpstr>
      <vt:lpstr>shubetsu299</vt:lpstr>
      <vt:lpstr>shubetsu300</vt:lpstr>
      <vt:lpstr>shubetsu301</vt:lpstr>
      <vt:lpstr>shubetsu302</vt:lpstr>
      <vt:lpstr>shubetsu303</vt:lpstr>
      <vt:lpstr>shubetsu304</vt:lpstr>
      <vt:lpstr>shubetsu305</vt:lpstr>
      <vt:lpstr>shubetsu306</vt:lpstr>
      <vt:lpstr>shubetsu307</vt:lpstr>
      <vt:lpstr>shubetsu308</vt:lpstr>
      <vt:lpstr>shubetsu309</vt:lpstr>
      <vt:lpstr>shubetsu310</vt:lpstr>
      <vt:lpstr>shubetsu311</vt:lpstr>
      <vt:lpstr>shubetsu312</vt:lpstr>
      <vt:lpstr>shubetsu313</vt:lpstr>
      <vt:lpstr>shubetsu314</vt:lpstr>
      <vt:lpstr>shubetsu315</vt:lpstr>
      <vt:lpstr>shubetsu316</vt:lpstr>
      <vt:lpstr>shubetsu317</vt:lpstr>
      <vt:lpstr>shubetsu318</vt:lpstr>
      <vt:lpstr>shubetsu319</vt:lpstr>
      <vt:lpstr>shubetsu320</vt:lpstr>
      <vt:lpstr>shubetsu321</vt:lpstr>
      <vt:lpstr>shubetsu322</vt:lpstr>
      <vt:lpstr>shubetsu323</vt:lpstr>
      <vt:lpstr>shubetsu324</vt:lpstr>
      <vt:lpstr>shubetsu325</vt:lpstr>
      <vt:lpstr>shubetsu326</vt:lpstr>
      <vt:lpstr>shubetsu327</vt:lpstr>
      <vt:lpstr>shubetsu328</vt:lpstr>
      <vt:lpstr>shubetsu329</vt:lpstr>
      <vt:lpstr>shubetsu330</vt:lpstr>
      <vt:lpstr>shubetsu331</vt:lpstr>
      <vt:lpstr>shubetsu332</vt:lpstr>
      <vt:lpstr>shubetsu333</vt:lpstr>
      <vt:lpstr>shubetsu334</vt:lpstr>
      <vt:lpstr>shubetsu335</vt:lpstr>
      <vt:lpstr>shubetsu336</vt:lpstr>
      <vt:lpstr>shubetsu337</vt:lpstr>
      <vt:lpstr>shubetsu338</vt:lpstr>
      <vt:lpstr>shubetsu339</vt:lpstr>
      <vt:lpstr>shubetsu340</vt:lpstr>
      <vt:lpstr>shubetsu341</vt:lpstr>
      <vt:lpstr>shubetsu342</vt:lpstr>
      <vt:lpstr>shubetsu343</vt:lpstr>
      <vt:lpstr>shubetsu344</vt:lpstr>
      <vt:lpstr>shubetsu345</vt:lpstr>
      <vt:lpstr>shubetsu346</vt:lpstr>
      <vt:lpstr>shubetsu347</vt:lpstr>
      <vt:lpstr>shubetsu348</vt:lpstr>
      <vt:lpstr>shubetsu349</vt:lpstr>
      <vt:lpstr>shubetsu350</vt:lpstr>
      <vt:lpstr>shubetsu351</vt:lpstr>
      <vt:lpstr>shubetsu352</vt:lpstr>
      <vt:lpstr>shubetsu353</vt:lpstr>
      <vt:lpstr>shubetsu354</vt:lpstr>
      <vt:lpstr>shubetsu355</vt:lpstr>
      <vt:lpstr>shubetsu356</vt:lpstr>
      <vt:lpstr>shubetsu357</vt:lpstr>
      <vt:lpstr>shubetsu358</vt:lpstr>
      <vt:lpstr>shubetsu359</vt:lpstr>
      <vt:lpstr>shubetsu360</vt:lpstr>
      <vt:lpstr>shubetsu361</vt:lpstr>
      <vt:lpstr>shubetsu362</vt:lpstr>
      <vt:lpstr>shubetsu363</vt:lpstr>
      <vt:lpstr>shubetsu364</vt:lpstr>
      <vt:lpstr>shubetsu365</vt:lpstr>
      <vt:lpstr>shubetsu366</vt:lpstr>
      <vt:lpstr>shubetsu367</vt:lpstr>
      <vt:lpstr>shubetsu368</vt:lpstr>
      <vt:lpstr>shubetsu369</vt:lpstr>
      <vt:lpstr>shubetsu370</vt:lpstr>
      <vt:lpstr>shubetsu371</vt:lpstr>
      <vt:lpstr>shubetsu372</vt:lpstr>
      <vt:lpstr>shubetsu373</vt:lpstr>
      <vt:lpstr>shubetsu374</vt:lpstr>
      <vt:lpstr>shubetsu375</vt:lpstr>
      <vt:lpstr>shubetsu376</vt:lpstr>
      <vt:lpstr>shubetsu377</vt:lpstr>
      <vt:lpstr>shubetsu378</vt:lpstr>
      <vt:lpstr>shubetsu379</vt:lpstr>
      <vt:lpstr>shubetsu380</vt:lpstr>
      <vt:lpstr>shubetsu381</vt:lpstr>
      <vt:lpstr>shubetsu382</vt:lpstr>
      <vt:lpstr>shubetsu383</vt:lpstr>
      <vt:lpstr>shubetsu384</vt:lpstr>
      <vt:lpstr>shubetsu385</vt:lpstr>
      <vt:lpstr>shubetsu386</vt:lpstr>
      <vt:lpstr>shubetsu387</vt:lpstr>
      <vt:lpstr>shubetsu388</vt:lpstr>
      <vt:lpstr>shubetsu389</vt:lpstr>
      <vt:lpstr>shubetsu390</vt:lpstr>
      <vt:lpstr>shubetsu391</vt:lpstr>
      <vt:lpstr>shubetsu392</vt:lpstr>
      <vt:lpstr>shubetsu393</vt:lpstr>
      <vt:lpstr>shubetsu394</vt:lpstr>
      <vt:lpstr>shubetsu395</vt:lpstr>
      <vt:lpstr>shubetsu396</vt:lpstr>
      <vt:lpstr>shubetsu397</vt:lpstr>
      <vt:lpstr>shubetsu398</vt:lpstr>
      <vt:lpstr>shubetsu399</vt:lpstr>
      <vt:lpstr>shubetsu400</vt:lpstr>
      <vt:lpstr>shubetsu401</vt:lpstr>
      <vt:lpstr>shubetsu402</vt:lpstr>
      <vt:lpstr>shubetsu403</vt:lpstr>
      <vt:lpstr>shubetsu404</vt:lpstr>
      <vt:lpstr>shubetsu405</vt:lpstr>
      <vt:lpstr>shubetsu406</vt:lpstr>
      <vt:lpstr>shubetsu407</vt:lpstr>
      <vt:lpstr>shubetsu408</vt:lpstr>
      <vt:lpstr>shubetsu409</vt:lpstr>
      <vt:lpstr>shubetsu410</vt:lpstr>
      <vt:lpstr>shubetsu411</vt:lpstr>
      <vt:lpstr>shubetsu412</vt:lpstr>
      <vt:lpstr>shubetsu413</vt:lpstr>
      <vt:lpstr>shubetsu414</vt:lpstr>
      <vt:lpstr>shubetsu415</vt:lpstr>
      <vt:lpstr>shubetsu416</vt:lpstr>
      <vt:lpstr>shubetsu417</vt:lpstr>
      <vt:lpstr>shubetsu418</vt:lpstr>
      <vt:lpstr>shubetsu419</vt:lpstr>
      <vt:lpstr>shubetsu420</vt:lpstr>
      <vt:lpstr>shubetsu421</vt:lpstr>
      <vt:lpstr>shubetsu422</vt:lpstr>
      <vt:lpstr>shubetsu423</vt:lpstr>
      <vt:lpstr>shubetsu424</vt:lpstr>
      <vt:lpstr>shubetsu425</vt:lpstr>
      <vt:lpstr>shubetsu426</vt:lpstr>
      <vt:lpstr>shubetsu427</vt:lpstr>
      <vt:lpstr>shubetsu428</vt:lpstr>
      <vt:lpstr>shubetsu429</vt:lpstr>
      <vt:lpstr>shubetsu430</vt:lpstr>
      <vt:lpstr>shubetsu431</vt:lpstr>
      <vt:lpstr>shubetsu432</vt:lpstr>
      <vt:lpstr>shubetsu433</vt:lpstr>
      <vt:lpstr>shubetsu434</vt:lpstr>
      <vt:lpstr>shubetsu435</vt:lpstr>
      <vt:lpstr>shubetsu436</vt:lpstr>
      <vt:lpstr>shubetsu437</vt:lpstr>
      <vt:lpstr>shubetsu438</vt:lpstr>
      <vt:lpstr>shubetsu439</vt:lpstr>
      <vt:lpstr>shubetsu440</vt:lpstr>
      <vt:lpstr>shubetsu441</vt:lpstr>
      <vt:lpstr>shubetsu442</vt:lpstr>
      <vt:lpstr>shubetsu443</vt:lpstr>
      <vt:lpstr>shubetsu444</vt:lpstr>
      <vt:lpstr>shubetsu445</vt:lpstr>
      <vt:lpstr>shubetsu446</vt:lpstr>
      <vt:lpstr>shubetsu447</vt:lpstr>
      <vt:lpstr>shubetsu448</vt:lpstr>
      <vt:lpstr>shubetsu449</vt:lpstr>
      <vt:lpstr>shubetsu450</vt:lpstr>
      <vt:lpstr>shubetsu451</vt:lpstr>
      <vt:lpstr>shubetsu452</vt:lpstr>
      <vt:lpstr>shubetsu453</vt:lpstr>
      <vt:lpstr>shubetsu454</vt:lpstr>
      <vt:lpstr>shubetsu455</vt:lpstr>
      <vt:lpstr>shubetsu456</vt:lpstr>
      <vt:lpstr>shubetsu457</vt:lpstr>
      <vt:lpstr>shubetsu458</vt:lpstr>
      <vt:lpstr>shubetsu459</vt:lpstr>
      <vt:lpstr>shubetsu460</vt:lpstr>
      <vt:lpstr>shubetsu461</vt:lpstr>
      <vt:lpstr>shubetsu462</vt:lpstr>
      <vt:lpstr>shubetsu463</vt:lpstr>
      <vt:lpstr>shubetsu464</vt:lpstr>
      <vt:lpstr>shubetsu465</vt:lpstr>
      <vt:lpstr>shubetsu466</vt:lpstr>
      <vt:lpstr>shubetsu467</vt:lpstr>
      <vt:lpstr>shubetsu468</vt:lpstr>
      <vt:lpstr>shubetsu469</vt:lpstr>
      <vt:lpstr>shubetsu470</vt:lpstr>
      <vt:lpstr>shubetsu471</vt:lpstr>
      <vt:lpstr>shubetsu472</vt:lpstr>
      <vt:lpstr>shubetsu473</vt:lpstr>
      <vt:lpstr>shubetsu474</vt:lpstr>
      <vt:lpstr>shubetsu475</vt:lpstr>
      <vt:lpstr>shubetsu476</vt:lpstr>
      <vt:lpstr>shubetsu477</vt:lpstr>
      <vt:lpstr>shubetsu478</vt:lpstr>
      <vt:lpstr>shubetsu479</vt:lpstr>
      <vt:lpstr>shubetsu480</vt:lpstr>
      <vt:lpstr>shubetsu481</vt:lpstr>
      <vt:lpstr>shubetsu482</vt:lpstr>
      <vt:lpstr>shubetsu483</vt:lpstr>
      <vt:lpstr>shubetsu484</vt:lpstr>
      <vt:lpstr>shubetsu485</vt:lpstr>
      <vt:lpstr>shubetsu486</vt:lpstr>
      <vt:lpstr>shubetsu487</vt:lpstr>
      <vt:lpstr>shubetsu488</vt:lpstr>
      <vt:lpstr>shubetsu489</vt:lpstr>
      <vt:lpstr>shubetsu490</vt:lpstr>
      <vt:lpstr>shubetsu491</vt:lpstr>
      <vt:lpstr>shubetsu492</vt:lpstr>
      <vt:lpstr>shubetsu493</vt:lpstr>
      <vt:lpstr>shubetsu494</vt:lpstr>
      <vt:lpstr>shubetsu495</vt:lpstr>
      <vt:lpstr>shubetsu496</vt:lpstr>
      <vt:lpstr>shubetsu497</vt:lpstr>
      <vt:lpstr>shubetsu498</vt:lpstr>
      <vt:lpstr>shubetsu499</vt:lpstr>
      <vt:lpstr>shubetsu500</vt:lpstr>
      <vt:lpstr>shutoku001</vt:lpstr>
      <vt:lpstr>shutoku002</vt:lpstr>
      <vt:lpstr>shutoku003</vt:lpstr>
      <vt:lpstr>shutoku004</vt:lpstr>
      <vt:lpstr>shutoku005</vt:lpstr>
      <vt:lpstr>shutoku006</vt:lpstr>
      <vt:lpstr>shutoku007</vt:lpstr>
      <vt:lpstr>shutoku008</vt:lpstr>
      <vt:lpstr>shutoku009</vt:lpstr>
      <vt:lpstr>shutoku010</vt:lpstr>
      <vt:lpstr>shutoku011</vt:lpstr>
      <vt:lpstr>shutoku012</vt:lpstr>
      <vt:lpstr>shutoku013</vt:lpstr>
      <vt:lpstr>shutoku014</vt:lpstr>
      <vt:lpstr>shutoku015</vt:lpstr>
      <vt:lpstr>shutoku016</vt:lpstr>
      <vt:lpstr>shutoku017</vt:lpstr>
      <vt:lpstr>shutoku018</vt:lpstr>
      <vt:lpstr>shutoku019</vt:lpstr>
      <vt:lpstr>shutoku020</vt:lpstr>
      <vt:lpstr>shutoku021</vt:lpstr>
      <vt:lpstr>shutoku022</vt:lpstr>
      <vt:lpstr>shutoku023</vt:lpstr>
      <vt:lpstr>shutoku024</vt:lpstr>
      <vt:lpstr>shutoku025</vt:lpstr>
      <vt:lpstr>shutoku026</vt:lpstr>
      <vt:lpstr>shutoku027</vt:lpstr>
      <vt:lpstr>shutoku028</vt:lpstr>
      <vt:lpstr>shutoku029</vt:lpstr>
      <vt:lpstr>shutoku030</vt:lpstr>
      <vt:lpstr>shutoku031</vt:lpstr>
      <vt:lpstr>shutoku032</vt:lpstr>
      <vt:lpstr>shutoku033</vt:lpstr>
      <vt:lpstr>shutoku034</vt:lpstr>
      <vt:lpstr>shutoku035</vt:lpstr>
      <vt:lpstr>shutoku036</vt:lpstr>
      <vt:lpstr>shutoku037</vt:lpstr>
      <vt:lpstr>shutoku038</vt:lpstr>
      <vt:lpstr>shutoku039</vt:lpstr>
      <vt:lpstr>shutoku040</vt:lpstr>
      <vt:lpstr>shutoku041</vt:lpstr>
      <vt:lpstr>shutoku042</vt:lpstr>
      <vt:lpstr>shutoku043</vt:lpstr>
      <vt:lpstr>shutoku044</vt:lpstr>
      <vt:lpstr>shutoku045</vt:lpstr>
      <vt:lpstr>shutoku046</vt:lpstr>
      <vt:lpstr>shutoku047</vt:lpstr>
      <vt:lpstr>shutoku048</vt:lpstr>
      <vt:lpstr>shutoku049</vt:lpstr>
      <vt:lpstr>shutoku050</vt:lpstr>
      <vt:lpstr>shutoku051</vt:lpstr>
      <vt:lpstr>shutoku052</vt:lpstr>
      <vt:lpstr>shutoku053</vt:lpstr>
      <vt:lpstr>shutoku054</vt:lpstr>
      <vt:lpstr>shutoku055</vt:lpstr>
      <vt:lpstr>shutoku056</vt:lpstr>
      <vt:lpstr>shutoku057</vt:lpstr>
      <vt:lpstr>shutoku058</vt:lpstr>
      <vt:lpstr>shutoku059</vt:lpstr>
      <vt:lpstr>shutoku060</vt:lpstr>
      <vt:lpstr>shutoku061</vt:lpstr>
      <vt:lpstr>shutoku062</vt:lpstr>
      <vt:lpstr>shutoku063</vt:lpstr>
      <vt:lpstr>shutoku064</vt:lpstr>
      <vt:lpstr>shutoku065</vt:lpstr>
      <vt:lpstr>shutoku066</vt:lpstr>
      <vt:lpstr>shutoku067</vt:lpstr>
      <vt:lpstr>shutoku068</vt:lpstr>
      <vt:lpstr>shutoku069</vt:lpstr>
      <vt:lpstr>shutoku070</vt:lpstr>
      <vt:lpstr>shutoku071</vt:lpstr>
      <vt:lpstr>shutoku072</vt:lpstr>
      <vt:lpstr>shutoku073</vt:lpstr>
      <vt:lpstr>shutoku074</vt:lpstr>
      <vt:lpstr>shutoku075</vt:lpstr>
      <vt:lpstr>shutoku076</vt:lpstr>
      <vt:lpstr>shutoku077</vt:lpstr>
      <vt:lpstr>shutoku078</vt:lpstr>
      <vt:lpstr>shutoku079</vt:lpstr>
      <vt:lpstr>shutoku080</vt:lpstr>
      <vt:lpstr>shutoku081</vt:lpstr>
      <vt:lpstr>shutoku082</vt:lpstr>
      <vt:lpstr>shutoku083</vt:lpstr>
      <vt:lpstr>shutoku084</vt:lpstr>
      <vt:lpstr>shutoku085</vt:lpstr>
      <vt:lpstr>shutoku086</vt:lpstr>
      <vt:lpstr>shutoku087</vt:lpstr>
      <vt:lpstr>shutoku088</vt:lpstr>
      <vt:lpstr>shutoku089</vt:lpstr>
      <vt:lpstr>shutoku090</vt:lpstr>
      <vt:lpstr>shutoku091</vt:lpstr>
      <vt:lpstr>shutoku092</vt:lpstr>
      <vt:lpstr>shutoku093</vt:lpstr>
      <vt:lpstr>shutoku094</vt:lpstr>
      <vt:lpstr>shutoku095</vt:lpstr>
      <vt:lpstr>shutoku096</vt:lpstr>
      <vt:lpstr>shutoku097</vt:lpstr>
      <vt:lpstr>shutoku098</vt:lpstr>
      <vt:lpstr>shutoku099</vt:lpstr>
      <vt:lpstr>shutoku100</vt:lpstr>
      <vt:lpstr>shutoku101</vt:lpstr>
      <vt:lpstr>shutoku102</vt:lpstr>
      <vt:lpstr>shutoku103</vt:lpstr>
      <vt:lpstr>shutoku104</vt:lpstr>
      <vt:lpstr>shutoku105</vt:lpstr>
      <vt:lpstr>shutoku106</vt:lpstr>
      <vt:lpstr>shutoku107</vt:lpstr>
      <vt:lpstr>shutoku108</vt:lpstr>
      <vt:lpstr>shutoku109</vt:lpstr>
      <vt:lpstr>shutoku110</vt:lpstr>
      <vt:lpstr>shutoku111</vt:lpstr>
      <vt:lpstr>shutoku112</vt:lpstr>
      <vt:lpstr>shutoku113</vt:lpstr>
      <vt:lpstr>shutoku114</vt:lpstr>
      <vt:lpstr>shutoku115</vt:lpstr>
      <vt:lpstr>shutoku116</vt:lpstr>
      <vt:lpstr>shutoku117</vt:lpstr>
      <vt:lpstr>shutoku118</vt:lpstr>
      <vt:lpstr>shutoku119</vt:lpstr>
      <vt:lpstr>shutoku120</vt:lpstr>
      <vt:lpstr>shutoku121</vt:lpstr>
      <vt:lpstr>shutoku122</vt:lpstr>
      <vt:lpstr>shutoku123</vt:lpstr>
      <vt:lpstr>shutoku124</vt:lpstr>
      <vt:lpstr>shutoku125</vt:lpstr>
      <vt:lpstr>shutoku126</vt:lpstr>
      <vt:lpstr>shutoku127</vt:lpstr>
      <vt:lpstr>shutoku128</vt:lpstr>
      <vt:lpstr>shutoku129</vt:lpstr>
      <vt:lpstr>shutoku130</vt:lpstr>
      <vt:lpstr>shutoku131</vt:lpstr>
      <vt:lpstr>shutoku132</vt:lpstr>
      <vt:lpstr>shutoku133</vt:lpstr>
      <vt:lpstr>shutoku134</vt:lpstr>
      <vt:lpstr>shutoku135</vt:lpstr>
      <vt:lpstr>shutoku136</vt:lpstr>
      <vt:lpstr>shutoku137</vt:lpstr>
      <vt:lpstr>shutoku138</vt:lpstr>
      <vt:lpstr>shutoku139</vt:lpstr>
      <vt:lpstr>shutoku140</vt:lpstr>
      <vt:lpstr>shutoku141</vt:lpstr>
      <vt:lpstr>shutoku142</vt:lpstr>
      <vt:lpstr>shutoku143</vt:lpstr>
      <vt:lpstr>shutoku144</vt:lpstr>
      <vt:lpstr>shutoku145</vt:lpstr>
      <vt:lpstr>shutoku146</vt:lpstr>
      <vt:lpstr>shutoku147</vt:lpstr>
      <vt:lpstr>shutoku148</vt:lpstr>
      <vt:lpstr>shutoku149</vt:lpstr>
      <vt:lpstr>shutoku150</vt:lpstr>
      <vt:lpstr>shutoku151</vt:lpstr>
      <vt:lpstr>shutoku152</vt:lpstr>
      <vt:lpstr>shutoku153</vt:lpstr>
      <vt:lpstr>shutoku154</vt:lpstr>
      <vt:lpstr>shutoku155</vt:lpstr>
      <vt:lpstr>shutoku156</vt:lpstr>
      <vt:lpstr>shutoku157</vt:lpstr>
      <vt:lpstr>shutoku158</vt:lpstr>
      <vt:lpstr>shutoku159</vt:lpstr>
      <vt:lpstr>shutoku160</vt:lpstr>
      <vt:lpstr>shutoku161</vt:lpstr>
      <vt:lpstr>shutoku162</vt:lpstr>
      <vt:lpstr>shutoku163</vt:lpstr>
      <vt:lpstr>shutoku164</vt:lpstr>
      <vt:lpstr>shutoku165</vt:lpstr>
      <vt:lpstr>shutoku166</vt:lpstr>
      <vt:lpstr>shutoku167</vt:lpstr>
      <vt:lpstr>shutoku168</vt:lpstr>
      <vt:lpstr>shutoku169</vt:lpstr>
      <vt:lpstr>shutoku170</vt:lpstr>
      <vt:lpstr>shutoku171</vt:lpstr>
      <vt:lpstr>shutoku172</vt:lpstr>
      <vt:lpstr>shutoku173</vt:lpstr>
      <vt:lpstr>shutoku174</vt:lpstr>
      <vt:lpstr>shutoku175</vt:lpstr>
      <vt:lpstr>shutoku176</vt:lpstr>
      <vt:lpstr>shutoku177</vt:lpstr>
      <vt:lpstr>shutoku178</vt:lpstr>
      <vt:lpstr>shutoku179</vt:lpstr>
      <vt:lpstr>shutoku180</vt:lpstr>
      <vt:lpstr>shutoku181</vt:lpstr>
      <vt:lpstr>shutoku182</vt:lpstr>
      <vt:lpstr>shutoku183</vt:lpstr>
      <vt:lpstr>shutoku184</vt:lpstr>
      <vt:lpstr>shutoku185</vt:lpstr>
      <vt:lpstr>shutoku186</vt:lpstr>
      <vt:lpstr>shutoku187</vt:lpstr>
      <vt:lpstr>shutoku188</vt:lpstr>
      <vt:lpstr>shutoku189</vt:lpstr>
      <vt:lpstr>shutoku190</vt:lpstr>
      <vt:lpstr>shutoku191</vt:lpstr>
      <vt:lpstr>shutoku192</vt:lpstr>
      <vt:lpstr>shutoku193</vt:lpstr>
      <vt:lpstr>shutoku194</vt:lpstr>
      <vt:lpstr>shutoku195</vt:lpstr>
      <vt:lpstr>shutoku196</vt:lpstr>
      <vt:lpstr>shutoku197</vt:lpstr>
      <vt:lpstr>shutoku198</vt:lpstr>
      <vt:lpstr>shutoku199</vt:lpstr>
      <vt:lpstr>shutoku200</vt:lpstr>
      <vt:lpstr>shutoku201</vt:lpstr>
      <vt:lpstr>shutoku202</vt:lpstr>
      <vt:lpstr>shutoku203</vt:lpstr>
      <vt:lpstr>shutoku204</vt:lpstr>
      <vt:lpstr>shutoku205</vt:lpstr>
      <vt:lpstr>shutoku206</vt:lpstr>
      <vt:lpstr>shutoku207</vt:lpstr>
      <vt:lpstr>shutoku208</vt:lpstr>
      <vt:lpstr>shutoku209</vt:lpstr>
      <vt:lpstr>shutoku210</vt:lpstr>
      <vt:lpstr>shutoku211</vt:lpstr>
      <vt:lpstr>shutoku212</vt:lpstr>
      <vt:lpstr>shutoku213</vt:lpstr>
      <vt:lpstr>shutoku214</vt:lpstr>
      <vt:lpstr>shutoku215</vt:lpstr>
      <vt:lpstr>shutoku216</vt:lpstr>
      <vt:lpstr>shutoku217</vt:lpstr>
      <vt:lpstr>shutoku218</vt:lpstr>
      <vt:lpstr>shutoku219</vt:lpstr>
      <vt:lpstr>shutoku220</vt:lpstr>
      <vt:lpstr>shutoku221</vt:lpstr>
      <vt:lpstr>shutoku222</vt:lpstr>
      <vt:lpstr>shutoku223</vt:lpstr>
      <vt:lpstr>shutoku224</vt:lpstr>
      <vt:lpstr>shutoku225</vt:lpstr>
      <vt:lpstr>shutoku226</vt:lpstr>
      <vt:lpstr>shutoku227</vt:lpstr>
      <vt:lpstr>shutoku228</vt:lpstr>
      <vt:lpstr>shutoku229</vt:lpstr>
      <vt:lpstr>shutoku230</vt:lpstr>
      <vt:lpstr>shutoku231</vt:lpstr>
      <vt:lpstr>shutoku232</vt:lpstr>
      <vt:lpstr>shutoku233</vt:lpstr>
      <vt:lpstr>shutoku234</vt:lpstr>
      <vt:lpstr>shutoku235</vt:lpstr>
      <vt:lpstr>shutoku236</vt:lpstr>
      <vt:lpstr>shutoku237</vt:lpstr>
      <vt:lpstr>shutoku238</vt:lpstr>
      <vt:lpstr>shutoku239</vt:lpstr>
      <vt:lpstr>shutoku240</vt:lpstr>
      <vt:lpstr>shutoku241</vt:lpstr>
      <vt:lpstr>shutoku242</vt:lpstr>
      <vt:lpstr>shutoku243</vt:lpstr>
      <vt:lpstr>shutoku244</vt:lpstr>
      <vt:lpstr>shutoku245</vt:lpstr>
      <vt:lpstr>shutoku246</vt:lpstr>
      <vt:lpstr>shutoku247</vt:lpstr>
      <vt:lpstr>shutoku248</vt:lpstr>
      <vt:lpstr>shutoku249</vt:lpstr>
      <vt:lpstr>shutoku250</vt:lpstr>
      <vt:lpstr>shutoku251</vt:lpstr>
      <vt:lpstr>shutoku252</vt:lpstr>
      <vt:lpstr>shutoku253</vt:lpstr>
      <vt:lpstr>shutoku254</vt:lpstr>
      <vt:lpstr>shutoku255</vt:lpstr>
      <vt:lpstr>shutoku256</vt:lpstr>
      <vt:lpstr>shutoku257</vt:lpstr>
      <vt:lpstr>shutoku258</vt:lpstr>
      <vt:lpstr>shutoku259</vt:lpstr>
      <vt:lpstr>shutoku260</vt:lpstr>
      <vt:lpstr>shutoku261</vt:lpstr>
      <vt:lpstr>shutoku262</vt:lpstr>
      <vt:lpstr>shutoku263</vt:lpstr>
      <vt:lpstr>shutoku264</vt:lpstr>
      <vt:lpstr>shutoku265</vt:lpstr>
      <vt:lpstr>shutoku266</vt:lpstr>
      <vt:lpstr>shutoku267</vt:lpstr>
      <vt:lpstr>shutoku268</vt:lpstr>
      <vt:lpstr>shutoku269</vt:lpstr>
      <vt:lpstr>shutoku270</vt:lpstr>
      <vt:lpstr>shutoku271</vt:lpstr>
      <vt:lpstr>shutoku272</vt:lpstr>
      <vt:lpstr>shutoku273</vt:lpstr>
      <vt:lpstr>shutoku274</vt:lpstr>
      <vt:lpstr>shutoku275</vt:lpstr>
      <vt:lpstr>shutoku276</vt:lpstr>
      <vt:lpstr>shutoku277</vt:lpstr>
      <vt:lpstr>shutoku278</vt:lpstr>
      <vt:lpstr>shutoku279</vt:lpstr>
      <vt:lpstr>shutoku280</vt:lpstr>
      <vt:lpstr>shutoku281</vt:lpstr>
      <vt:lpstr>shutoku282</vt:lpstr>
      <vt:lpstr>shutoku283</vt:lpstr>
      <vt:lpstr>shutoku284</vt:lpstr>
      <vt:lpstr>shutoku285</vt:lpstr>
      <vt:lpstr>shutoku286</vt:lpstr>
      <vt:lpstr>shutoku287</vt:lpstr>
      <vt:lpstr>shutoku288</vt:lpstr>
      <vt:lpstr>shutoku289</vt:lpstr>
      <vt:lpstr>shutoku290</vt:lpstr>
      <vt:lpstr>shutoku291</vt:lpstr>
      <vt:lpstr>shutoku292</vt:lpstr>
      <vt:lpstr>shutoku293</vt:lpstr>
      <vt:lpstr>shutoku294</vt:lpstr>
      <vt:lpstr>shutoku295</vt:lpstr>
      <vt:lpstr>shutoku296</vt:lpstr>
      <vt:lpstr>shutoku297</vt:lpstr>
      <vt:lpstr>shutoku298</vt:lpstr>
      <vt:lpstr>shutoku299</vt:lpstr>
      <vt:lpstr>shutoku300</vt:lpstr>
      <vt:lpstr>shutoku301</vt:lpstr>
      <vt:lpstr>shutoku302</vt:lpstr>
      <vt:lpstr>shutoku303</vt:lpstr>
      <vt:lpstr>shutoku304</vt:lpstr>
      <vt:lpstr>shutoku305</vt:lpstr>
      <vt:lpstr>shutoku306</vt:lpstr>
      <vt:lpstr>shutoku307</vt:lpstr>
      <vt:lpstr>shutoku308</vt:lpstr>
      <vt:lpstr>shutoku309</vt:lpstr>
      <vt:lpstr>shutoku310</vt:lpstr>
      <vt:lpstr>shutoku311</vt:lpstr>
      <vt:lpstr>shutoku312</vt:lpstr>
      <vt:lpstr>shutoku313</vt:lpstr>
      <vt:lpstr>shutoku314</vt:lpstr>
      <vt:lpstr>shutoku315</vt:lpstr>
      <vt:lpstr>shutoku316</vt:lpstr>
      <vt:lpstr>shutoku317</vt:lpstr>
      <vt:lpstr>shutoku318</vt:lpstr>
      <vt:lpstr>shutoku319</vt:lpstr>
      <vt:lpstr>shutoku320</vt:lpstr>
      <vt:lpstr>shutoku321</vt:lpstr>
      <vt:lpstr>shutoku322</vt:lpstr>
      <vt:lpstr>shutoku323</vt:lpstr>
      <vt:lpstr>shutoku324</vt:lpstr>
      <vt:lpstr>shutoku325</vt:lpstr>
      <vt:lpstr>shutoku326</vt:lpstr>
      <vt:lpstr>shutoku327</vt:lpstr>
      <vt:lpstr>shutoku328</vt:lpstr>
      <vt:lpstr>shutoku329</vt:lpstr>
      <vt:lpstr>shutoku330</vt:lpstr>
      <vt:lpstr>shutoku331</vt:lpstr>
      <vt:lpstr>shutoku332</vt:lpstr>
      <vt:lpstr>shutoku333</vt:lpstr>
      <vt:lpstr>shutoku334</vt:lpstr>
      <vt:lpstr>shutoku335</vt:lpstr>
      <vt:lpstr>shutoku336</vt:lpstr>
      <vt:lpstr>shutoku337</vt:lpstr>
      <vt:lpstr>shutoku338</vt:lpstr>
      <vt:lpstr>shutoku339</vt:lpstr>
      <vt:lpstr>shutoku340</vt:lpstr>
      <vt:lpstr>shutoku341</vt:lpstr>
      <vt:lpstr>shutoku342</vt:lpstr>
      <vt:lpstr>shutoku343</vt:lpstr>
      <vt:lpstr>shutoku344</vt:lpstr>
      <vt:lpstr>shutoku345</vt:lpstr>
      <vt:lpstr>shutoku346</vt:lpstr>
      <vt:lpstr>shutoku347</vt:lpstr>
      <vt:lpstr>shutoku348</vt:lpstr>
      <vt:lpstr>shutoku349</vt:lpstr>
      <vt:lpstr>shutoku350</vt:lpstr>
      <vt:lpstr>shutoku351</vt:lpstr>
      <vt:lpstr>shutoku352</vt:lpstr>
      <vt:lpstr>shutoku353</vt:lpstr>
      <vt:lpstr>shutoku354</vt:lpstr>
      <vt:lpstr>shutoku355</vt:lpstr>
      <vt:lpstr>shutoku356</vt:lpstr>
      <vt:lpstr>shutoku357</vt:lpstr>
      <vt:lpstr>shutoku358</vt:lpstr>
      <vt:lpstr>shutoku359</vt:lpstr>
      <vt:lpstr>shutoku360</vt:lpstr>
      <vt:lpstr>shutoku361</vt:lpstr>
      <vt:lpstr>shutoku362</vt:lpstr>
      <vt:lpstr>shutoku363</vt:lpstr>
      <vt:lpstr>shutoku364</vt:lpstr>
      <vt:lpstr>shutoku365</vt:lpstr>
      <vt:lpstr>shutoku366</vt:lpstr>
      <vt:lpstr>shutoku367</vt:lpstr>
      <vt:lpstr>shutoku368</vt:lpstr>
      <vt:lpstr>shutoku369</vt:lpstr>
      <vt:lpstr>shutoku370</vt:lpstr>
      <vt:lpstr>shutoku371</vt:lpstr>
      <vt:lpstr>shutoku372</vt:lpstr>
      <vt:lpstr>shutoku373</vt:lpstr>
      <vt:lpstr>shutoku374</vt:lpstr>
      <vt:lpstr>shutoku375</vt:lpstr>
      <vt:lpstr>shutoku376</vt:lpstr>
      <vt:lpstr>shutoku377</vt:lpstr>
      <vt:lpstr>shutoku378</vt:lpstr>
      <vt:lpstr>shutoku379</vt:lpstr>
      <vt:lpstr>shutoku380</vt:lpstr>
      <vt:lpstr>shutoku381</vt:lpstr>
      <vt:lpstr>shutoku382</vt:lpstr>
      <vt:lpstr>shutoku383</vt:lpstr>
      <vt:lpstr>shutoku384</vt:lpstr>
      <vt:lpstr>shutoku385</vt:lpstr>
      <vt:lpstr>shutoku386</vt:lpstr>
      <vt:lpstr>shutoku387</vt:lpstr>
      <vt:lpstr>shutoku388</vt:lpstr>
      <vt:lpstr>shutoku389</vt:lpstr>
      <vt:lpstr>shutoku390</vt:lpstr>
      <vt:lpstr>shutoku391</vt:lpstr>
      <vt:lpstr>shutoku392</vt:lpstr>
      <vt:lpstr>shutoku393</vt:lpstr>
      <vt:lpstr>shutoku394</vt:lpstr>
      <vt:lpstr>shutoku395</vt:lpstr>
      <vt:lpstr>shutoku396</vt:lpstr>
      <vt:lpstr>shutoku397</vt:lpstr>
      <vt:lpstr>shutoku398</vt:lpstr>
      <vt:lpstr>shutoku399</vt:lpstr>
      <vt:lpstr>shutoku400</vt:lpstr>
      <vt:lpstr>shutoku401</vt:lpstr>
      <vt:lpstr>shutoku402</vt:lpstr>
      <vt:lpstr>shutoku403</vt:lpstr>
      <vt:lpstr>shutoku404</vt:lpstr>
      <vt:lpstr>shutoku405</vt:lpstr>
      <vt:lpstr>shutoku406</vt:lpstr>
      <vt:lpstr>shutoku407</vt:lpstr>
      <vt:lpstr>shutoku408</vt:lpstr>
      <vt:lpstr>shutoku409</vt:lpstr>
      <vt:lpstr>shutoku410</vt:lpstr>
      <vt:lpstr>shutoku411</vt:lpstr>
      <vt:lpstr>shutoku412</vt:lpstr>
      <vt:lpstr>shutoku413</vt:lpstr>
      <vt:lpstr>shutoku414</vt:lpstr>
      <vt:lpstr>shutoku415</vt:lpstr>
      <vt:lpstr>shutoku416</vt:lpstr>
      <vt:lpstr>shutoku417</vt:lpstr>
      <vt:lpstr>shutoku418</vt:lpstr>
      <vt:lpstr>shutoku419</vt:lpstr>
      <vt:lpstr>shutoku420</vt:lpstr>
      <vt:lpstr>shutoku421</vt:lpstr>
      <vt:lpstr>shutoku422</vt:lpstr>
      <vt:lpstr>shutoku423</vt:lpstr>
      <vt:lpstr>shutoku424</vt:lpstr>
      <vt:lpstr>shutoku425</vt:lpstr>
      <vt:lpstr>shutoku426</vt:lpstr>
      <vt:lpstr>shutoku427</vt:lpstr>
      <vt:lpstr>shutoku428</vt:lpstr>
      <vt:lpstr>shutoku429</vt:lpstr>
      <vt:lpstr>shutoku430</vt:lpstr>
      <vt:lpstr>shutoku431</vt:lpstr>
      <vt:lpstr>shutoku432</vt:lpstr>
      <vt:lpstr>shutoku433</vt:lpstr>
      <vt:lpstr>shutoku434</vt:lpstr>
      <vt:lpstr>shutoku435</vt:lpstr>
      <vt:lpstr>shutoku436</vt:lpstr>
      <vt:lpstr>shutoku437</vt:lpstr>
      <vt:lpstr>shutoku438</vt:lpstr>
      <vt:lpstr>shutoku439</vt:lpstr>
      <vt:lpstr>shutoku440</vt:lpstr>
      <vt:lpstr>shutoku441</vt:lpstr>
      <vt:lpstr>shutoku442</vt:lpstr>
      <vt:lpstr>shutoku443</vt:lpstr>
      <vt:lpstr>shutoku444</vt:lpstr>
      <vt:lpstr>shutoku445</vt:lpstr>
      <vt:lpstr>shutoku446</vt:lpstr>
      <vt:lpstr>shutoku447</vt:lpstr>
      <vt:lpstr>shutoku448</vt:lpstr>
      <vt:lpstr>shutoku449</vt:lpstr>
      <vt:lpstr>shutoku450</vt:lpstr>
      <vt:lpstr>shutoku451</vt:lpstr>
      <vt:lpstr>shutoku452</vt:lpstr>
      <vt:lpstr>shutoku453</vt:lpstr>
      <vt:lpstr>shutoku454</vt:lpstr>
      <vt:lpstr>shutoku455</vt:lpstr>
      <vt:lpstr>shutoku456</vt:lpstr>
      <vt:lpstr>shutoku457</vt:lpstr>
      <vt:lpstr>shutoku458</vt:lpstr>
      <vt:lpstr>shutoku459</vt:lpstr>
      <vt:lpstr>shutoku460</vt:lpstr>
      <vt:lpstr>shutoku461</vt:lpstr>
      <vt:lpstr>shutoku462</vt:lpstr>
      <vt:lpstr>shutoku463</vt:lpstr>
      <vt:lpstr>shutoku464</vt:lpstr>
      <vt:lpstr>shutoku465</vt:lpstr>
      <vt:lpstr>shutoku466</vt:lpstr>
      <vt:lpstr>shutoku467</vt:lpstr>
      <vt:lpstr>shutoku468</vt:lpstr>
      <vt:lpstr>shutoku469</vt:lpstr>
      <vt:lpstr>shutoku470</vt:lpstr>
      <vt:lpstr>shutoku471</vt:lpstr>
      <vt:lpstr>shutoku472</vt:lpstr>
      <vt:lpstr>shutoku473</vt:lpstr>
      <vt:lpstr>shutoku474</vt:lpstr>
      <vt:lpstr>shutoku475</vt:lpstr>
      <vt:lpstr>shutoku476</vt:lpstr>
      <vt:lpstr>shutoku477</vt:lpstr>
      <vt:lpstr>shutoku478</vt:lpstr>
      <vt:lpstr>shutoku479</vt:lpstr>
      <vt:lpstr>shutoku480</vt:lpstr>
      <vt:lpstr>shutoku481</vt:lpstr>
      <vt:lpstr>shutoku482</vt:lpstr>
      <vt:lpstr>shutoku483</vt:lpstr>
      <vt:lpstr>shutoku484</vt:lpstr>
      <vt:lpstr>shutoku485</vt:lpstr>
      <vt:lpstr>shutoku486</vt:lpstr>
      <vt:lpstr>shutoku487</vt:lpstr>
      <vt:lpstr>shutoku488</vt:lpstr>
      <vt:lpstr>shutoku489</vt:lpstr>
      <vt:lpstr>shutoku490</vt:lpstr>
      <vt:lpstr>shutoku491</vt:lpstr>
      <vt:lpstr>shutoku492</vt:lpstr>
      <vt:lpstr>shutoku493</vt:lpstr>
      <vt:lpstr>shutoku494</vt:lpstr>
      <vt:lpstr>shutoku495</vt:lpstr>
      <vt:lpstr>shutoku496</vt:lpstr>
      <vt:lpstr>shutoku497</vt:lpstr>
      <vt:lpstr>shutoku498</vt:lpstr>
      <vt:lpstr>shutoku499</vt:lpstr>
      <vt:lpstr>shutoku500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2023-06-02T23:39:40Z</dcterms:created>
  <dcterms:modified xsi:type="dcterms:W3CDTF">2025-06-21T05:52:36Z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0x010100F180F4E9C1AB8045B6C34C8F903AEFCB</vt:lpwstr>
  </property>
  <property fmtid="{D5CDD505-2E9C-101B-9397-08002B2CF9AE}" pid="3" name="MediaServiceImageTags">
    <vt:lpwstr/>
  </property>
  <property fmtid="{D5CDD505-2E9C-101B-9397-08002B2CF9AE}" pid="4" name="MSIP_Label_dbb4fa5d-3ac5-4415-967c-34900a0e1c6f_Enabled">
    <vt:lpwstr>true</vt:lpwstr>
  </property>
  <property fmtid="{D5CDD505-2E9C-101B-9397-08002B2CF9AE}" pid="5" name="MSIP_Label_dbb4fa5d-3ac5-4415-967c-34900a0e1c6f_SetDate">
    <vt:lpwstr>2024-08-13T01:49:30Z</vt:lpwstr>
  </property>
  <property fmtid="{D5CDD505-2E9C-101B-9397-08002B2CF9AE}" pid="6" name="MSIP_Label_dbb4fa5d-3ac5-4415-967c-34900a0e1c6f_Method">
    <vt:lpwstr>Privileged</vt:lpwstr>
  </property>
  <property fmtid="{D5CDD505-2E9C-101B-9397-08002B2CF9AE}" pid="7" name="MSIP_Label_dbb4fa5d-3ac5-4415-967c-34900a0e1c6f_Name">
    <vt:lpwstr>dbb4fa5d-3ac5-4415-967c-34900a0e1c6f</vt:lpwstr>
  </property>
  <property fmtid="{D5CDD505-2E9C-101B-9397-08002B2CF9AE}" pid="8" name="MSIP_Label_dbb4fa5d-3ac5-4415-967c-34900a0e1c6f_SiteId">
    <vt:lpwstr>a629ef32-67ba-47a6-8eb3-ec43935644fc</vt:lpwstr>
  </property>
  <property fmtid="{D5CDD505-2E9C-101B-9397-08002B2CF9AE}" pid="9" name="MSIP_Label_dbb4fa5d-3ac5-4415-967c-34900a0e1c6f_ActionId">
    <vt:lpwstr>a42c5938-bdd4-443e-9617-16ddeff73d6f</vt:lpwstr>
  </property>
  <property fmtid="{D5CDD505-2E9C-101B-9397-08002B2CF9AE}" pid="10" name="MSIP_Label_dbb4fa5d-3ac5-4415-967c-34900a0e1c6f_ContentBits">
    <vt:lpwstr>0</vt:lpwstr>
  </property>
</Properties>
</file>