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defaultThemeVersion="124226"/>
  <xr:revisionPtr revIDLastSave="14" documentId="13_ncr:1_{06296DAA-FBCE-4910-B072-1F8820F9E5C9}" xr6:coauthVersionLast="47" xr6:coauthVersionMax="47" xr10:uidLastSave="{258EF495-C27C-4B52-9424-A494DFCB03A6}"/>
  <workbookProtection workbookAlgorithmName="SHA-512" workbookHashValue="O4beNiPUNqfy4z1f+EYtEJxmqQmx0c3VfG7PI62AkMtkecWwDo6qN5XAH046xyTsgyZadLezQIPJLGeqmhCPzg==" workbookSaltValue="7IQTKWKl+zuAfLdzLBuNIw==" workbookSpinCount="100000" lockStructure="1"/>
  <bookViews>
    <workbookView xWindow="-120" yWindow="-16320" windowWidth="29040" windowHeight="15720" tabRatio="732" xr2:uid="{00000000-000D-0000-FFFF-FFFF00000000}"/>
  </bookViews>
  <sheets>
    <sheet name="新規お申込書" sheetId="1" r:id="rId1"/>
    <sheet name="新規別紙" sheetId="8" r:id="rId2"/>
    <sheet name="【記載例】新規お申込書" sheetId="9" r:id="rId3"/>
    <sheet name="【記載例】新規別紙" sheetId="10" r:id="rId4"/>
    <sheet name="table（隠す）新規" sheetId="2" state="hidden" r:id="rId5"/>
    <sheet name="選択肢（隠す）新規" sheetId="7" state="hidden" r:id="rId6"/>
  </sheets>
  <definedNames>
    <definedName name="accelikkatsu001">新規別紙!$J$13</definedName>
    <definedName name="accelikkatsu002">新規別紙!$J$14</definedName>
    <definedName name="accelikkatsu003">新規別紙!$J$15</definedName>
    <definedName name="accelikkatsu004">新規別紙!$J$16</definedName>
    <definedName name="accelikkatsu005">新規別紙!$J$17</definedName>
    <definedName name="accelikkatsu006">新規別紙!$J$18</definedName>
    <definedName name="accelikkatsu007">新規別紙!$J$19</definedName>
    <definedName name="accelikkatsu008">新規別紙!$J$20</definedName>
    <definedName name="accelikkatsu009">新規別紙!$J$21</definedName>
    <definedName name="accelikkatsu010">新規別紙!$J$22</definedName>
    <definedName name="accelikkatsu011">新規別紙!$J$23</definedName>
    <definedName name="accelikkatsu012">新規別紙!$J$24</definedName>
    <definedName name="accelikkatsu013">新規別紙!$J$25</definedName>
    <definedName name="accelikkatsu014">新規別紙!$J$26</definedName>
    <definedName name="accelikkatsu015">新規別紙!$J$27</definedName>
    <definedName name="accelikkatsu016">新規別紙!$J$28</definedName>
    <definedName name="accelikkatsu017">新規別紙!$J$29</definedName>
    <definedName name="accelikkatsu018">新規別紙!$J$30</definedName>
    <definedName name="accelikkatsu019">新規別紙!$J$31</definedName>
    <definedName name="accelikkatsu020">新規別紙!$J$32</definedName>
    <definedName name="accelikkatsu021">新規別紙!$J$33</definedName>
    <definedName name="accelikkatsu022">新規別紙!$J$34</definedName>
    <definedName name="accelikkatsu023">新規別紙!$J$35</definedName>
    <definedName name="accelikkatsu024">新規別紙!$J$36</definedName>
    <definedName name="accelikkatsu025">新規別紙!$J$37</definedName>
    <definedName name="accelikkatsu026">新規別紙!$J$38</definedName>
    <definedName name="accelikkatsu027">新規別紙!$J$39</definedName>
    <definedName name="accelikkatsu028">新規別紙!$J$40</definedName>
    <definedName name="accelikkatsu029">新規別紙!$J$41</definedName>
    <definedName name="accelikkatsu030">新規別紙!$J$42</definedName>
    <definedName name="accelikkatsu031">新規別紙!$J$43</definedName>
    <definedName name="accelikkatsu032">新規別紙!$J$44</definedName>
    <definedName name="accelikkatsu033">新規別紙!$J$45</definedName>
    <definedName name="accelikkatsu034">新規別紙!$J$46</definedName>
    <definedName name="accelikkatsu035">新規別紙!$J$47</definedName>
    <definedName name="accelikkatsu036">新規別紙!$J$48</definedName>
    <definedName name="accelikkatsu037">新規別紙!$J$49</definedName>
    <definedName name="accelikkatsu038">新規別紙!$J$50</definedName>
    <definedName name="accelikkatsu039">新規別紙!$J$51</definedName>
    <definedName name="accelikkatsu040">新規別紙!$J$52</definedName>
    <definedName name="accelikkatsu041">新規別紙!$J$53</definedName>
    <definedName name="accelikkatsu042">新規別紙!$J$54</definedName>
    <definedName name="accelikkatsu043">新規別紙!$J$55</definedName>
    <definedName name="accelikkatsu044">新規別紙!$J$56</definedName>
    <definedName name="accelikkatsu045">新規別紙!$J$57</definedName>
    <definedName name="accelikkatsu046">新規別紙!$J$58</definedName>
    <definedName name="accelikkatsu047">新規別紙!$J$59</definedName>
    <definedName name="accelikkatsu048">新規別紙!$J$60</definedName>
    <definedName name="accelikkatsu049">新規別紙!$J$61</definedName>
    <definedName name="accelikkatsu050">新規別紙!$J$62</definedName>
    <definedName name="accelikkatsu051">新規別紙!$J$63</definedName>
    <definedName name="accelikkatsu052">新規別紙!$J$64</definedName>
    <definedName name="accelikkatsu053">新規別紙!$J$65</definedName>
    <definedName name="accelikkatsu054">新規別紙!$J$66</definedName>
    <definedName name="accelikkatsu055">新規別紙!$J$67</definedName>
    <definedName name="accelikkatsu056">新規別紙!$J$68</definedName>
    <definedName name="accelikkatsu057">新規別紙!$J$69</definedName>
    <definedName name="accelikkatsu058">新規別紙!$J$70</definedName>
    <definedName name="accelikkatsu059">新規別紙!$J$71</definedName>
    <definedName name="accelikkatsu060">新規別紙!$J$72</definedName>
    <definedName name="accelikkatsu061">新規別紙!$J$73</definedName>
    <definedName name="accelikkatsu062">新規別紙!$J$74</definedName>
    <definedName name="accelikkatsu063">新規別紙!$J$75</definedName>
    <definedName name="accelikkatsu064">新規別紙!$J$76</definedName>
    <definedName name="accelikkatsu065">新規別紙!$J$77</definedName>
    <definedName name="accelikkatsu066">新規別紙!$J$78</definedName>
    <definedName name="accelikkatsu067">新規別紙!$J$79</definedName>
    <definedName name="accelikkatsu068">新規別紙!$J$80</definedName>
    <definedName name="accelikkatsu069">新規別紙!$J$81</definedName>
    <definedName name="accelikkatsu070">新規別紙!$J$82</definedName>
    <definedName name="accelikkatsu071">新規別紙!$J$83</definedName>
    <definedName name="accelikkatsu072">新規別紙!$J$84</definedName>
    <definedName name="accelikkatsu073">新規別紙!$J$85</definedName>
    <definedName name="accelikkatsu074">新規別紙!$J$86</definedName>
    <definedName name="accelikkatsu075">新規別紙!$J$87</definedName>
    <definedName name="accelikkatsu076">新規別紙!$J$88</definedName>
    <definedName name="accelikkatsu077">新規別紙!$J$89</definedName>
    <definedName name="accelikkatsu078">新規別紙!$J$90</definedName>
    <definedName name="accelikkatsu079">新規別紙!$J$91</definedName>
    <definedName name="accelikkatsu080">新規別紙!$J$92</definedName>
    <definedName name="accelikkatsu081">新規別紙!$J$93</definedName>
    <definedName name="accelikkatsu082">新規別紙!$J$94</definedName>
    <definedName name="accelikkatsu083">新規別紙!$J$95</definedName>
    <definedName name="accelikkatsu084">新規別紙!$J$96</definedName>
    <definedName name="accelikkatsu085">新規別紙!$J$97</definedName>
    <definedName name="accelikkatsu086">新規別紙!$J$98</definedName>
    <definedName name="accelikkatsu087">新規別紙!$J$99</definedName>
    <definedName name="accelikkatsu088">新規別紙!$J$100</definedName>
    <definedName name="accelikkatsu089">新規別紙!$J$101</definedName>
    <definedName name="accelikkatsu090">新規別紙!$J$102</definedName>
    <definedName name="accelikkatsu091">新規別紙!$J$103</definedName>
    <definedName name="accelikkatsu092">新規別紙!$J$104</definedName>
    <definedName name="accelikkatsu093">新規別紙!$J$105</definedName>
    <definedName name="accelikkatsu094">新規別紙!$J$106</definedName>
    <definedName name="accelikkatsu095">新規別紙!$J$107</definedName>
    <definedName name="accelikkatsu096">新規別紙!$J$108</definedName>
    <definedName name="accelikkatsu097">新規別紙!$J$109</definedName>
    <definedName name="accelikkatsu098">新規別紙!$J$110</definedName>
    <definedName name="accelikkatsu099">新規別紙!$J$111</definedName>
    <definedName name="accelikkatsu100">新規別紙!$J$112</definedName>
    <definedName name="accelikkatsu101">新規別紙!$J$113</definedName>
    <definedName name="accelikkatsu102">新規別紙!$J$114</definedName>
    <definedName name="accelikkatsu103">新規別紙!$J$115</definedName>
    <definedName name="accelikkatsu104">新規別紙!$J$116</definedName>
    <definedName name="accelikkatsu105">新規別紙!$J$117</definedName>
    <definedName name="accelikkatsu106">新規別紙!$J$118</definedName>
    <definedName name="accelikkatsu107">新規別紙!$J$119</definedName>
    <definedName name="accelikkatsu108">新規別紙!$J$120</definedName>
    <definedName name="accelikkatsu109">新規別紙!$J$121</definedName>
    <definedName name="accelikkatsu110">新規別紙!$J$122</definedName>
    <definedName name="accelikkatsu111">新規別紙!$J$123</definedName>
    <definedName name="accelikkatsu112">新規別紙!$J$124</definedName>
    <definedName name="accelikkatsu113">新規別紙!$J$125</definedName>
    <definedName name="accelikkatsu114">新規別紙!$J$126</definedName>
    <definedName name="accelikkatsu115">新規別紙!$J$127</definedName>
    <definedName name="accelikkatsu116">新規別紙!$J$128</definedName>
    <definedName name="accelikkatsu117">新規別紙!$J$129</definedName>
    <definedName name="accelikkatsu118">新規別紙!$J$130</definedName>
    <definedName name="accelikkatsu119">新規別紙!$J$131</definedName>
    <definedName name="accelikkatsu120">新規別紙!$J$132</definedName>
    <definedName name="accelikkatsu121">新規別紙!$J$133</definedName>
    <definedName name="accelikkatsu122">新規別紙!$J$134</definedName>
    <definedName name="accelikkatsu123">新規別紙!$J$135</definedName>
    <definedName name="accelikkatsu124">新規別紙!$J$136</definedName>
    <definedName name="accelikkatsu125">新規別紙!$J$137</definedName>
    <definedName name="accelikkatsu126">新規別紙!$J$138</definedName>
    <definedName name="accelikkatsu127">新規別紙!$J$139</definedName>
    <definedName name="accelikkatsu128">新規別紙!$J$140</definedName>
    <definedName name="accelikkatsu129">新規別紙!$J$141</definedName>
    <definedName name="accelikkatsu130">新規別紙!$J$142</definedName>
    <definedName name="accelikkatsu131">新規別紙!$J$143</definedName>
    <definedName name="accelikkatsu132">新規別紙!$J$144</definedName>
    <definedName name="accelikkatsu133">新規別紙!$J$145</definedName>
    <definedName name="accelikkatsu134">新規別紙!$J$146</definedName>
    <definedName name="accelikkatsu135">新規別紙!$J$147</definedName>
    <definedName name="accelikkatsu136">新規別紙!$J$148</definedName>
    <definedName name="accelikkatsu137">新規別紙!$J$149</definedName>
    <definedName name="accelikkatsu138">新規別紙!$J$150</definedName>
    <definedName name="accelikkatsu139">新規別紙!$J$151</definedName>
    <definedName name="accelikkatsu140">新規別紙!$J$152</definedName>
    <definedName name="accelikkatsu141">新規別紙!$J$153</definedName>
    <definedName name="accelikkatsu142">新規別紙!$J$154</definedName>
    <definedName name="accelikkatsu143">新規別紙!$J$155</definedName>
    <definedName name="accelikkatsu144">新規別紙!$J$156</definedName>
    <definedName name="accelikkatsu145">新規別紙!$J$157</definedName>
    <definedName name="accelikkatsu146">新規別紙!$J$158</definedName>
    <definedName name="accelikkatsu147">新規別紙!$J$159</definedName>
    <definedName name="accelikkatsu148">新規別紙!$J$160</definedName>
    <definedName name="accelikkatsu149">新規別紙!$J$161</definedName>
    <definedName name="accelikkatsu150">新規別紙!$J$162</definedName>
    <definedName name="accelikkatsu151">新規別紙!$J$163</definedName>
    <definedName name="accelikkatsu152">新規別紙!$J$164</definedName>
    <definedName name="accelikkatsu153">新規別紙!$J$165</definedName>
    <definedName name="accelikkatsu154">新規別紙!$J$166</definedName>
    <definedName name="accelikkatsu155">新規別紙!$J$167</definedName>
    <definedName name="accelikkatsu156">新規別紙!$J$168</definedName>
    <definedName name="accelikkatsu157">新規別紙!$J$169</definedName>
    <definedName name="accelikkatsu158">新規別紙!$J$170</definedName>
    <definedName name="accelikkatsu159">新規別紙!$J$171</definedName>
    <definedName name="accelikkatsu160">新規別紙!$J$172</definedName>
    <definedName name="accelikkatsu161">新規別紙!$J$173</definedName>
    <definedName name="accelikkatsu162">新規別紙!$J$174</definedName>
    <definedName name="accelikkatsu163">新規別紙!$J$175</definedName>
    <definedName name="accelikkatsu164">新規別紙!$J$176</definedName>
    <definedName name="accelikkatsu165">新規別紙!$J$177</definedName>
    <definedName name="accelikkatsu166">新規別紙!$J$178</definedName>
    <definedName name="accelikkatsu167">新規別紙!$J$179</definedName>
    <definedName name="accelikkatsu168">新規別紙!$J$180</definedName>
    <definedName name="accelikkatsu169">新規別紙!$J$181</definedName>
    <definedName name="accelikkatsu170">新規別紙!$J$182</definedName>
    <definedName name="accelikkatsu171">新規別紙!$J$183</definedName>
    <definedName name="accelikkatsu172">新規別紙!$J$184</definedName>
    <definedName name="accelikkatsu173">新規別紙!$J$185</definedName>
    <definedName name="accelikkatsu174">新規別紙!$J$186</definedName>
    <definedName name="accelikkatsu175">新規別紙!$J$187</definedName>
    <definedName name="accelikkatsu176">新規別紙!$J$188</definedName>
    <definedName name="accelikkatsu177">新規別紙!$J$189</definedName>
    <definedName name="accelikkatsu178">新規別紙!$J$190</definedName>
    <definedName name="accelikkatsu179">新規別紙!$J$191</definedName>
    <definedName name="accelikkatsu180">新規別紙!$J$192</definedName>
    <definedName name="accelikkatsu181">新規別紙!$J$193</definedName>
    <definedName name="accelikkatsu182">新規別紙!$J$194</definedName>
    <definedName name="accelikkatsu183">新規別紙!$J$195</definedName>
    <definedName name="accelikkatsu184">新規別紙!$J$196</definedName>
    <definedName name="accelikkatsu185">新規別紙!$J$197</definedName>
    <definedName name="accelikkatsu186">新規別紙!$J$198</definedName>
    <definedName name="accelikkatsu187">新規別紙!$J$199</definedName>
    <definedName name="accelikkatsu188">新規別紙!$J$200</definedName>
    <definedName name="accelikkatsu189">新規別紙!$J$201</definedName>
    <definedName name="accelikkatsu190">新規別紙!$J$202</definedName>
    <definedName name="accelikkatsu191">新規別紙!$J$203</definedName>
    <definedName name="accelikkatsu192">新規別紙!$J$204</definedName>
    <definedName name="accelikkatsu193">新規別紙!$J$205</definedName>
    <definedName name="accelikkatsu194">新規別紙!$J$206</definedName>
    <definedName name="accelikkatsu195">新規別紙!$J$207</definedName>
    <definedName name="accelikkatsu196">新規別紙!$J$208</definedName>
    <definedName name="accelikkatsu197">新規別紙!$J$209</definedName>
    <definedName name="accelikkatsu198">新規別紙!$J$210</definedName>
    <definedName name="accelikkatsu199">新規別紙!$J$211</definedName>
    <definedName name="accelikkatsu200">新規別紙!$J$212</definedName>
    <definedName name="accelikkatsu201">新規別紙!$J$213</definedName>
    <definedName name="accelikkatsu202">新規別紙!$J$214</definedName>
    <definedName name="accelikkatsu203">新規別紙!$J$215</definedName>
    <definedName name="accelikkatsu204">新規別紙!$J$216</definedName>
    <definedName name="accelikkatsu205">新規別紙!$J$217</definedName>
    <definedName name="accelikkatsu206">新規別紙!$J$218</definedName>
    <definedName name="accelikkatsu207">新規別紙!$J$219</definedName>
    <definedName name="accelikkatsu208">新規別紙!$J$220</definedName>
    <definedName name="accelikkatsu209">新規別紙!$J$221</definedName>
    <definedName name="accelikkatsu210">新規別紙!$J$222</definedName>
    <definedName name="accelikkatsu211">新規別紙!$J$223</definedName>
    <definedName name="accelikkatsu212">新規別紙!$J$224</definedName>
    <definedName name="accelikkatsu213">新規別紙!$J$225</definedName>
    <definedName name="accelikkatsu214">新規別紙!$J$226</definedName>
    <definedName name="accelikkatsu215">新規別紙!$J$227</definedName>
    <definedName name="accelikkatsu216">新規別紙!$J$228</definedName>
    <definedName name="accelikkatsu217">新規別紙!$J$229</definedName>
    <definedName name="accelikkatsu218">新規別紙!$J$230</definedName>
    <definedName name="accelikkatsu219">新規別紙!$J$231</definedName>
    <definedName name="accelikkatsu220">新規別紙!$J$232</definedName>
    <definedName name="accelikkatsu221">新規別紙!$J$233</definedName>
    <definedName name="accelikkatsu222">新規別紙!$J$234</definedName>
    <definedName name="accelikkatsu223">新規別紙!$J$235</definedName>
    <definedName name="accelikkatsu224">新規別紙!$J$236</definedName>
    <definedName name="accelikkatsu225">新規別紙!$J$237</definedName>
    <definedName name="accelikkatsu226">新規別紙!$J$238</definedName>
    <definedName name="accelikkatsu227">新規別紙!$J$239</definedName>
    <definedName name="accelikkatsu228">新規別紙!$J$240</definedName>
    <definedName name="accelikkatsu229">新規別紙!$J$241</definedName>
    <definedName name="accelikkatsu230">新規別紙!$J$242</definedName>
    <definedName name="accelikkatsu231">新規別紙!$J$243</definedName>
    <definedName name="accelikkatsu232">新規別紙!$J$244</definedName>
    <definedName name="accelikkatsu233">新規別紙!$J$245</definedName>
    <definedName name="accelikkatsu234">新規別紙!$J$246</definedName>
    <definedName name="accelikkatsu235">新規別紙!$J$247</definedName>
    <definedName name="accelikkatsu236">新規別紙!$J$248</definedName>
    <definedName name="accelikkatsu237">新規別紙!$J$249</definedName>
    <definedName name="accelikkatsu238">新規別紙!$J$250</definedName>
    <definedName name="accelikkatsu239">新規別紙!$J$251</definedName>
    <definedName name="accelikkatsu240">新規別紙!$J$252</definedName>
    <definedName name="accelikkatsu241">新規別紙!$J$253</definedName>
    <definedName name="accelikkatsu242">新規別紙!$J$254</definedName>
    <definedName name="accelikkatsu243">新規別紙!$J$255</definedName>
    <definedName name="accelikkatsu244">新規別紙!$J$256</definedName>
    <definedName name="accelikkatsu245">新規別紙!$J$257</definedName>
    <definedName name="accelikkatsu246">新規別紙!$J$258</definedName>
    <definedName name="accelikkatsu247">新規別紙!$J$259</definedName>
    <definedName name="accelikkatsu248">新規別紙!$J$260</definedName>
    <definedName name="accelikkatsu249">新規別紙!$J$261</definedName>
    <definedName name="accelikkatsu250">新規別紙!$J$262</definedName>
    <definedName name="accelikkatsu251">新規別紙!$J$263</definedName>
    <definedName name="accelikkatsu252">新規別紙!$J$264</definedName>
    <definedName name="accelikkatsu253">新規別紙!$J$265</definedName>
    <definedName name="accelikkatsu254">新規別紙!$J$266</definedName>
    <definedName name="accelikkatsu255">新規別紙!$J$267</definedName>
    <definedName name="accelikkatsu256">新規別紙!$J$268</definedName>
    <definedName name="accelikkatsu257">新規別紙!$J$269</definedName>
    <definedName name="accelikkatsu258">新規別紙!$J$270</definedName>
    <definedName name="accelikkatsu259">新規別紙!$J$271</definedName>
    <definedName name="accelikkatsu260">新規別紙!$J$272</definedName>
    <definedName name="accelikkatsu261">新規別紙!$J$273</definedName>
    <definedName name="accelikkatsu262">新規別紙!$J$274</definedName>
    <definedName name="accelikkatsu263">新規別紙!$J$275</definedName>
    <definedName name="accelikkatsu264">新規別紙!$J$276</definedName>
    <definedName name="accelikkatsu265">新規別紙!$J$277</definedName>
    <definedName name="accelikkatsu266">新規別紙!$J$278</definedName>
    <definedName name="accelikkatsu267">新規別紙!$J$279</definedName>
    <definedName name="accelikkatsu268">新規別紙!$J$280</definedName>
    <definedName name="accelikkatsu269">新規別紙!$J$281</definedName>
    <definedName name="accelikkatsu270">新規別紙!$J$282</definedName>
    <definedName name="accelikkatsu271">新規別紙!$J$283</definedName>
    <definedName name="accelikkatsu272">新規別紙!$J$284</definedName>
    <definedName name="accelikkatsu273">新規別紙!$J$285</definedName>
    <definedName name="accelikkatsu274">新規別紙!$J$286</definedName>
    <definedName name="accelikkatsu275">新規別紙!$J$287</definedName>
    <definedName name="accelikkatsu276">新規別紙!$J$288</definedName>
    <definedName name="accelikkatsu277">新規別紙!$J$289</definedName>
    <definedName name="accelikkatsu278">新規別紙!$J$290</definedName>
    <definedName name="accelikkatsu279">新規別紙!$J$291</definedName>
    <definedName name="accelikkatsu280">新規別紙!$J$292</definedName>
    <definedName name="accelikkatsu281">新規別紙!$J$293</definedName>
    <definedName name="accelikkatsu282">新規別紙!$J$294</definedName>
    <definedName name="accelikkatsu283">新規別紙!$J$295</definedName>
    <definedName name="accelikkatsu284">新規別紙!$J$296</definedName>
    <definedName name="accelikkatsu285">新規別紙!$J$297</definedName>
    <definedName name="accelikkatsu286">新規別紙!$J$298</definedName>
    <definedName name="accelikkatsu287">新規別紙!$J$299</definedName>
    <definedName name="accelikkatsu288">新規別紙!$J$300</definedName>
    <definedName name="accelikkatsu289">新規別紙!$J$301</definedName>
    <definedName name="accelikkatsu290">新規別紙!$J$302</definedName>
    <definedName name="accelikkatsu291">新規別紙!$J$303</definedName>
    <definedName name="accelikkatsu292">新規別紙!$J$304</definedName>
    <definedName name="accelikkatsu293">新規別紙!$J$305</definedName>
    <definedName name="accelikkatsu294">新規別紙!$J$306</definedName>
    <definedName name="accelikkatsu295">新規別紙!$J$307</definedName>
    <definedName name="accelikkatsu296">新規別紙!$J$308</definedName>
    <definedName name="accelikkatsu297">新規別紙!$J$309</definedName>
    <definedName name="accelikkatsu298">新規別紙!$J$310</definedName>
    <definedName name="accelikkatsu299">新規別紙!$J$311</definedName>
    <definedName name="accelikkatsu300">新規別紙!$J$312</definedName>
    <definedName name="accelikkatsu301">新規別紙!$J$313</definedName>
    <definedName name="accelikkatsu302">新規別紙!$J$314</definedName>
    <definedName name="accelikkatsu303">新規別紙!$J$315</definedName>
    <definedName name="accelikkatsu304">新規別紙!$J$316</definedName>
    <definedName name="accelikkatsu305">新規別紙!$J$317</definedName>
    <definedName name="accelikkatsu306">新規別紙!$J$318</definedName>
    <definedName name="accelikkatsu307">新規別紙!$J$319</definedName>
    <definedName name="accelikkatsu308">新規別紙!$J$320</definedName>
    <definedName name="accelikkatsu309">新規別紙!$J$321</definedName>
    <definedName name="accelikkatsu310">新規別紙!$J$322</definedName>
    <definedName name="accelikkatsu311">新規別紙!$J$323</definedName>
    <definedName name="accelikkatsu312">新規別紙!$J$324</definedName>
    <definedName name="accelikkatsu313">新規別紙!$J$325</definedName>
    <definedName name="accelikkatsu314">新規別紙!$J$326</definedName>
    <definedName name="accelikkatsu315">新規別紙!$J$327</definedName>
    <definedName name="accelikkatsu316">新規別紙!$J$328</definedName>
    <definedName name="accelikkatsu317">新規別紙!$J$329</definedName>
    <definedName name="accelikkatsu318">新規別紙!$J$330</definedName>
    <definedName name="accelikkatsu319">新規別紙!$J$331</definedName>
    <definedName name="accelikkatsu320">新規別紙!$J$332</definedName>
    <definedName name="accelikkatsu321">新規別紙!$J$333</definedName>
    <definedName name="accelikkatsu322">新規別紙!$J$334</definedName>
    <definedName name="accelikkatsu323">新規別紙!$J$335</definedName>
    <definedName name="accelikkatsu324">新規別紙!$J$336</definedName>
    <definedName name="accelikkatsu325">新規別紙!$J$337</definedName>
    <definedName name="accelikkatsu326">新規別紙!$J$338</definedName>
    <definedName name="accelikkatsu327">新規別紙!$J$339</definedName>
    <definedName name="accelikkatsu328">新規別紙!$J$340</definedName>
    <definedName name="accelikkatsu329">新規別紙!$J$341</definedName>
    <definedName name="accelikkatsu330">新規別紙!$J$342</definedName>
    <definedName name="accelikkatsu331">新規別紙!$J$343</definedName>
    <definedName name="accelikkatsu332">新規別紙!$J$344</definedName>
    <definedName name="accelikkatsu333">新規別紙!$J$345</definedName>
    <definedName name="accelikkatsu334">新規別紙!$J$346</definedName>
    <definedName name="accelikkatsu335">新規別紙!$J$347</definedName>
    <definedName name="accelikkatsu336">新規別紙!$J$348</definedName>
    <definedName name="accelikkatsu337">新規別紙!$J$349</definedName>
    <definedName name="accelikkatsu338">新規別紙!$J$350</definedName>
    <definedName name="accelikkatsu339">新規別紙!$J$351</definedName>
    <definedName name="accelikkatsu340">新規別紙!$J$352</definedName>
    <definedName name="accelikkatsu341">新規別紙!$J$353</definedName>
    <definedName name="accelikkatsu342">新規別紙!$J$354</definedName>
    <definedName name="accelikkatsu343">新規別紙!$J$355</definedName>
    <definedName name="accelikkatsu344">新規別紙!$J$356</definedName>
    <definedName name="accelikkatsu345">新規別紙!$J$357</definedName>
    <definedName name="accelikkatsu346">新規別紙!$J$358</definedName>
    <definedName name="accelikkatsu347">新規別紙!$J$359</definedName>
    <definedName name="accelikkatsu348">新規別紙!$J$360</definedName>
    <definedName name="accelikkatsu349">新規別紙!$J$361</definedName>
    <definedName name="accelikkatsu350">新規別紙!$J$362</definedName>
    <definedName name="accelikkatsu351">新規別紙!$J$363</definedName>
    <definedName name="accelikkatsu352">新規別紙!$J$364</definedName>
    <definedName name="accelikkatsu353">新規別紙!$J$365</definedName>
    <definedName name="accelikkatsu354">新規別紙!$J$366</definedName>
    <definedName name="accelikkatsu355">新規別紙!$J$367</definedName>
    <definedName name="accelikkatsu356">新規別紙!$J$368</definedName>
    <definedName name="accelikkatsu357">新規別紙!$J$369</definedName>
    <definedName name="accelikkatsu358">新規別紙!$J$370</definedName>
    <definedName name="accelikkatsu359">新規別紙!$J$371</definedName>
    <definedName name="accelikkatsu360">新規別紙!$J$372</definedName>
    <definedName name="accelikkatsu361">新規別紙!$J$373</definedName>
    <definedName name="accelikkatsu362">新規別紙!$J$374</definedName>
    <definedName name="accelikkatsu363">新規別紙!$J$375</definedName>
    <definedName name="accelikkatsu364">新規別紙!$J$376</definedName>
    <definedName name="accelikkatsu365">新規別紙!$J$377</definedName>
    <definedName name="accelikkatsu366">新規別紙!$J$378</definedName>
    <definedName name="accelikkatsu367">新規別紙!$J$379</definedName>
    <definedName name="accelikkatsu368">新規別紙!$J$380</definedName>
    <definedName name="accelikkatsu369">新規別紙!$J$381</definedName>
    <definedName name="accelikkatsu370">新規別紙!$J$382</definedName>
    <definedName name="accelikkatsu371">新規別紙!$J$383</definedName>
    <definedName name="accelikkatsu372">新規別紙!$J$384</definedName>
    <definedName name="accelikkatsu373">新規別紙!$J$385</definedName>
    <definedName name="accelikkatsu374">新規別紙!$J$386</definedName>
    <definedName name="accelikkatsu375">新規別紙!$J$387</definedName>
    <definedName name="accelikkatsu376">新規別紙!$J$388</definedName>
    <definedName name="accelikkatsu377">新規別紙!$J$389</definedName>
    <definedName name="accelikkatsu378">新規別紙!$J$390</definedName>
    <definedName name="accelikkatsu379">新規別紙!$J$391</definedName>
    <definedName name="accelikkatsu380">新規別紙!$J$392</definedName>
    <definedName name="accelikkatsu381">新規別紙!$J$393</definedName>
    <definedName name="accelikkatsu382">新規別紙!$J$394</definedName>
    <definedName name="accelikkatsu383">新規別紙!$J$395</definedName>
    <definedName name="accelikkatsu384">新規別紙!$J$396</definedName>
    <definedName name="accelikkatsu385">新規別紙!$J$397</definedName>
    <definedName name="accelikkatsu386">新規別紙!$J$398</definedName>
    <definedName name="accelikkatsu387">新規別紙!$J$399</definedName>
    <definedName name="accelikkatsu388">新規別紙!$J$400</definedName>
    <definedName name="accelikkatsu389">新規別紙!$J$401</definedName>
    <definedName name="accelikkatsu390">新規別紙!$J$402</definedName>
    <definedName name="accelikkatsu391">新規別紙!$J$403</definedName>
    <definedName name="accelikkatsu392">新規別紙!$J$404</definedName>
    <definedName name="accelikkatsu393">新規別紙!$J$405</definedName>
    <definedName name="accelikkatsu394">新規別紙!$J$406</definedName>
    <definedName name="accelikkatsu395">新規別紙!$J$407</definedName>
    <definedName name="accelikkatsu396">新規別紙!$J$408</definedName>
    <definedName name="accelikkatsu397">新規別紙!$J$409</definedName>
    <definedName name="accelikkatsu398">新規別紙!$J$410</definedName>
    <definedName name="accelikkatsu399">新規別紙!$J$411</definedName>
    <definedName name="accelikkatsu400">新規別紙!$J$412</definedName>
    <definedName name="accelikkatsu401">新規別紙!$J$413</definedName>
    <definedName name="accelikkatsu402">新規別紙!$J$414</definedName>
    <definedName name="accelikkatsu403">新規別紙!$J$415</definedName>
    <definedName name="accelikkatsu404">新規別紙!$J$416</definedName>
    <definedName name="accelikkatsu405">新規別紙!$J$417</definedName>
    <definedName name="accelikkatsu406">新規別紙!$J$418</definedName>
    <definedName name="accelikkatsu407">新規別紙!$J$419</definedName>
    <definedName name="accelikkatsu408">新規別紙!$J$420</definedName>
    <definedName name="accelikkatsu409">新規別紙!$J$421</definedName>
    <definedName name="accelikkatsu410">新規別紙!$J$422</definedName>
    <definedName name="accelikkatsu411">新規別紙!$J$423</definedName>
    <definedName name="accelikkatsu412">新規別紙!$J$424</definedName>
    <definedName name="accelikkatsu413">新規別紙!$J$425</definedName>
    <definedName name="accelikkatsu414">新規別紙!$J$426</definedName>
    <definedName name="accelikkatsu415">新規別紙!$J$427</definedName>
    <definedName name="accelikkatsu416">新規別紙!$J$428</definedName>
    <definedName name="accelikkatsu417">新規別紙!$J$429</definedName>
    <definedName name="accelikkatsu418">新規別紙!$J$430</definedName>
    <definedName name="accelikkatsu419">新規別紙!$J$431</definedName>
    <definedName name="accelikkatsu420">新規別紙!$J$432</definedName>
    <definedName name="accelikkatsu421">新規別紙!$J$433</definedName>
    <definedName name="accelikkatsu422">新規別紙!$J$434</definedName>
    <definedName name="accelikkatsu423">新規別紙!$J$435</definedName>
    <definedName name="accelikkatsu424">新規別紙!$J$436</definedName>
    <definedName name="accelikkatsu425">新規別紙!$J$437</definedName>
    <definedName name="accelikkatsu426">新規別紙!$J$438</definedName>
    <definedName name="accelikkatsu427">新規別紙!$J$439</definedName>
    <definedName name="accelikkatsu428">新規別紙!$J$440</definedName>
    <definedName name="accelikkatsu429">新規別紙!$J$441</definedName>
    <definedName name="accelikkatsu430">新規別紙!$J$442</definedName>
    <definedName name="accelikkatsu431">新規別紙!$J$443</definedName>
    <definedName name="accelikkatsu432">新規別紙!$J$444</definedName>
    <definedName name="accelikkatsu433">新規別紙!$J$445</definedName>
    <definedName name="accelikkatsu434">新規別紙!$J$446</definedName>
    <definedName name="accelikkatsu435">新規別紙!$J$447</definedName>
    <definedName name="accelikkatsu436">新規別紙!$J$448</definedName>
    <definedName name="accelikkatsu437">新規別紙!$J$449</definedName>
    <definedName name="accelikkatsu438">新規別紙!$J$450</definedName>
    <definedName name="accelikkatsu439">新規別紙!$J$451</definedName>
    <definedName name="accelikkatsu440">新規別紙!$J$452</definedName>
    <definedName name="accelikkatsu441">新規別紙!$J$453</definedName>
    <definedName name="accelikkatsu442">新規別紙!$J$454</definedName>
    <definedName name="accelikkatsu443">新規別紙!$J$455</definedName>
    <definedName name="accelikkatsu444">新規別紙!$J$456</definedName>
    <definedName name="accelikkatsu445">新規別紙!$J$457</definedName>
    <definedName name="accelikkatsu446">新規別紙!$J$458</definedName>
    <definedName name="accelikkatsu447">新規別紙!$J$459</definedName>
    <definedName name="accelikkatsu448">新規別紙!$J$460</definedName>
    <definedName name="accelikkatsu449">新規別紙!$J$461</definedName>
    <definedName name="accelikkatsu450">新規別紙!$J$462</definedName>
    <definedName name="accelikkatsu451">新規別紙!$J$463</definedName>
    <definedName name="accelikkatsu452">新規別紙!$J$464</definedName>
    <definedName name="accelikkatsu453">新規別紙!$J$465</definedName>
    <definedName name="accelikkatsu454">新規別紙!$J$466</definedName>
    <definedName name="accelikkatsu455">新規別紙!$J$467</definedName>
    <definedName name="accelikkatsu456">新規別紙!$J$468</definedName>
    <definedName name="accelikkatsu457">新規別紙!$J$469</definedName>
    <definedName name="accelikkatsu458">新規別紙!$J$470</definedName>
    <definedName name="accelikkatsu459">新規別紙!$J$471</definedName>
    <definedName name="accelikkatsu460">新規別紙!$J$472</definedName>
    <definedName name="accelikkatsu461">新規別紙!$J$473</definedName>
    <definedName name="accelikkatsu462">新規別紙!$J$474</definedName>
    <definedName name="accelikkatsu463">新規別紙!$J$475</definedName>
    <definedName name="accelikkatsu464">新規別紙!$J$476</definedName>
    <definedName name="accelikkatsu465">新規別紙!$J$477</definedName>
    <definedName name="accelikkatsu466">新規別紙!$J$478</definedName>
    <definedName name="accelikkatsu467">新規別紙!$J$479</definedName>
    <definedName name="accelikkatsu468">新規別紙!$J$480</definedName>
    <definedName name="accelikkatsu469">新規別紙!$J$481</definedName>
    <definedName name="accelikkatsu470">新規別紙!$J$482</definedName>
    <definedName name="accelikkatsu471">新規別紙!$J$483</definedName>
    <definedName name="accelikkatsu472">新規別紙!$J$484</definedName>
    <definedName name="accelikkatsu473">新規別紙!$J$485</definedName>
    <definedName name="accelikkatsu474">新規別紙!$J$486</definedName>
    <definedName name="accelikkatsu475">新規別紙!$J$487</definedName>
    <definedName name="accelikkatsu476">新規別紙!$J$488</definedName>
    <definedName name="accelikkatsu477">新規別紙!$J$489</definedName>
    <definedName name="accelikkatsu478">新規別紙!$J$490</definedName>
    <definedName name="accelikkatsu479">新規別紙!$J$491</definedName>
    <definedName name="accelikkatsu480">新規別紙!$J$492</definedName>
    <definedName name="accelikkatsu481">新規別紙!$J$493</definedName>
    <definedName name="accelikkatsu482">新規別紙!$J$494</definedName>
    <definedName name="accelikkatsu483">新規別紙!$J$495</definedName>
    <definedName name="accelikkatsu484">新規別紙!$J$496</definedName>
    <definedName name="accelikkatsu485">新規別紙!$J$497</definedName>
    <definedName name="accelikkatsu486">新規別紙!$J$498</definedName>
    <definedName name="accelikkatsu487">新規別紙!$J$499</definedName>
    <definedName name="accelikkatsu488">新規別紙!$J$500</definedName>
    <definedName name="accelikkatsu489">新規別紙!$J$501</definedName>
    <definedName name="accelikkatsu490">新規別紙!$J$502</definedName>
    <definedName name="accelikkatsu491">新規別紙!$J$503</definedName>
    <definedName name="accelikkatsu492">新規別紙!$J$504</definedName>
    <definedName name="accelikkatsu493">新規別紙!$J$505</definedName>
    <definedName name="accelikkatsu494">新規別紙!$J$506</definedName>
    <definedName name="accelikkatsu495">新規別紙!$J$507</definedName>
    <definedName name="accelikkatsu496">新規別紙!$J$508</definedName>
    <definedName name="accelikkatsu497">新規別紙!$J$509</definedName>
    <definedName name="accelikkatsu498">新規別紙!$J$510</definedName>
    <definedName name="accelikkatsu499">新規別紙!$J$511</definedName>
    <definedName name="accelikkatsu500">新規別紙!$J$512</definedName>
    <definedName name="applicationArrivalDate">新規お申込書!$K$10</definedName>
    <definedName name="belugabun001">新規別紙!$L$13</definedName>
    <definedName name="belugabun002">新規別紙!$L$14</definedName>
    <definedName name="belugabun003">新規別紙!$L$15</definedName>
    <definedName name="belugabun004">新規別紙!$L$16</definedName>
    <definedName name="belugabun005">新規別紙!$L$17</definedName>
    <definedName name="belugabun006">新規別紙!$L$18</definedName>
    <definedName name="belugabun007">新規別紙!$L$19</definedName>
    <definedName name="belugabun008">新規別紙!$L$20</definedName>
    <definedName name="belugabun009">新規別紙!$L$21</definedName>
    <definedName name="belugabun010">新規別紙!$L$22</definedName>
    <definedName name="belugabun011">新規別紙!$L$23</definedName>
    <definedName name="belugabun012">新規別紙!$L$24</definedName>
    <definedName name="belugabun013">新規別紙!$L$25</definedName>
    <definedName name="belugabun014">新規別紙!$L$26</definedName>
    <definedName name="belugabun015">新規別紙!$L$27</definedName>
    <definedName name="belugabun016">新規別紙!$L$28</definedName>
    <definedName name="belugabun017">新規別紙!$L$29</definedName>
    <definedName name="belugabun018">新規別紙!$L$30</definedName>
    <definedName name="belugabun019">新規別紙!$L$31</definedName>
    <definedName name="belugabun020">新規別紙!$L$32</definedName>
    <definedName name="belugabun021">新規別紙!$L$33</definedName>
    <definedName name="belugabun022">新規別紙!$L$34</definedName>
    <definedName name="belugabun023">新規別紙!$L$35</definedName>
    <definedName name="belugabun024">新規別紙!$L$36</definedName>
    <definedName name="belugabun025">新規別紙!$L$37</definedName>
    <definedName name="belugabun026">新規別紙!$L$38</definedName>
    <definedName name="belugabun027">新規別紙!$L$39</definedName>
    <definedName name="belugabun028">新規別紙!$L$40</definedName>
    <definedName name="belugabun029">新規別紙!$L$41</definedName>
    <definedName name="belugabun030">新規別紙!$L$42</definedName>
    <definedName name="belugabun031">新規別紙!$L$43</definedName>
    <definedName name="belugabun032">新規別紙!$L$44</definedName>
    <definedName name="belugabun033">新規別紙!$L$45</definedName>
    <definedName name="belugabun034">新規別紙!$L$46</definedName>
    <definedName name="belugabun035">新規別紙!$L$47</definedName>
    <definedName name="belugabun036">新規別紙!$L$48</definedName>
    <definedName name="belugabun037">新規別紙!$L$49</definedName>
    <definedName name="belugabun038">新規別紙!$L$50</definedName>
    <definedName name="belugabun039">新規別紙!$L$51</definedName>
    <definedName name="belugabun040">新規別紙!$L$52</definedName>
    <definedName name="belugabun041">新規別紙!$L$53</definedName>
    <definedName name="belugabun042">新規別紙!$L$54</definedName>
    <definedName name="belugabun043">新規別紙!$L$55</definedName>
    <definedName name="belugabun044">新規別紙!$L$56</definedName>
    <definedName name="belugabun045">新規別紙!$L$57</definedName>
    <definedName name="belugabun046">新規別紙!$L$58</definedName>
    <definedName name="belugabun047">新規別紙!$L$59</definedName>
    <definedName name="belugabun048">新規別紙!$L$60</definedName>
    <definedName name="belugabun049">新規別紙!$L$61</definedName>
    <definedName name="belugabun050">新規別紙!$L$62</definedName>
    <definedName name="belugabun051">新規別紙!$L$63</definedName>
    <definedName name="belugabun052">新規別紙!$L$64</definedName>
    <definedName name="belugabun053">新規別紙!$L$65</definedName>
    <definedName name="belugabun054">新規別紙!$L$66</definedName>
    <definedName name="belugabun055">新規別紙!$L$67</definedName>
    <definedName name="belugabun056">新規別紙!$L$68</definedName>
    <definedName name="belugabun057">新規別紙!$L$69</definedName>
    <definedName name="belugabun058">新規別紙!$L$70</definedName>
    <definedName name="belugabun059">新規別紙!$L$71</definedName>
    <definedName name="belugabun060">新規別紙!$L$72</definedName>
    <definedName name="belugabun061">新規別紙!$L$73</definedName>
    <definedName name="belugabun062">新規別紙!$L$74</definedName>
    <definedName name="belugabun063">新規別紙!$L$75</definedName>
    <definedName name="belugabun064">新規別紙!$L$76</definedName>
    <definedName name="belugabun065">新規別紙!$L$77</definedName>
    <definedName name="belugabun066">新規別紙!$L$78</definedName>
    <definedName name="belugabun067">新規別紙!$L$79</definedName>
    <definedName name="belugabun068">新規別紙!$L$80</definedName>
    <definedName name="belugabun069">新規別紙!$L$81</definedName>
    <definedName name="belugabun070">新規別紙!$L$82</definedName>
    <definedName name="belugabun071">新規別紙!$L$83</definedName>
    <definedName name="belugabun072">新規別紙!$L$84</definedName>
    <definedName name="belugabun073">新規別紙!$L$85</definedName>
    <definedName name="belugabun074">新規別紙!$L$86</definedName>
    <definedName name="belugabun075">新規別紙!$L$87</definedName>
    <definedName name="belugabun076">新規別紙!$L$88</definedName>
    <definedName name="belugabun077">新規別紙!$L$89</definedName>
    <definedName name="belugabun078">新規別紙!$L$90</definedName>
    <definedName name="belugabun079">新規別紙!$L$91</definedName>
    <definedName name="belugabun080">新規別紙!$L$92</definedName>
    <definedName name="belugabun081">新規別紙!$L$93</definedName>
    <definedName name="belugabun082">新規別紙!$L$94</definedName>
    <definedName name="belugabun083">新規別紙!$L$95</definedName>
    <definedName name="belugabun084">新規別紙!$L$96</definedName>
    <definedName name="belugabun085">新規別紙!$L$97</definedName>
    <definedName name="belugabun086">新規別紙!$L$98</definedName>
    <definedName name="belugabun087">新規別紙!$L$99</definedName>
    <definedName name="belugabun088">新規別紙!$L$100</definedName>
    <definedName name="belugabun089">新規別紙!$L$101</definedName>
    <definedName name="belugabun090">新規別紙!$L$102</definedName>
    <definedName name="belugabun091">新規別紙!$L$103</definedName>
    <definedName name="belugabun092">新規別紙!$L$104</definedName>
    <definedName name="belugabun093">新規別紙!$L$105</definedName>
    <definedName name="belugabun094">新規別紙!$L$106</definedName>
    <definedName name="belugabun095">新規別紙!$L$107</definedName>
    <definedName name="belugabun096">新規別紙!$L$108</definedName>
    <definedName name="belugabun097">新規別紙!$L$109</definedName>
    <definedName name="belugabun098">新規別紙!$L$110</definedName>
    <definedName name="belugabun099">新規別紙!$L$111</definedName>
    <definedName name="belugabun100">新規別紙!$L$112</definedName>
    <definedName name="belugabun101">新規別紙!$L$113</definedName>
    <definedName name="belugabun102">新規別紙!$L$114</definedName>
    <definedName name="belugabun103">新規別紙!$L$115</definedName>
    <definedName name="belugabun104">新規別紙!$L$116</definedName>
    <definedName name="belugabun105">新規別紙!$L$117</definedName>
    <definedName name="belugabun106">新規別紙!$L$118</definedName>
    <definedName name="belugabun107">新規別紙!$L$119</definedName>
    <definedName name="belugabun108">新規別紙!$L$120</definedName>
    <definedName name="belugabun109">新規別紙!$L$121</definedName>
    <definedName name="belugabun110">新規別紙!$L$122</definedName>
    <definedName name="belugabun111">新規別紙!$L$123</definedName>
    <definedName name="belugabun112">新規別紙!$L$124</definedName>
    <definedName name="belugabun113">新規別紙!$L$125</definedName>
    <definedName name="belugabun114">新規別紙!$L$126</definedName>
    <definedName name="belugabun115">新規別紙!$L$127</definedName>
    <definedName name="belugabun116">新規別紙!$L$128</definedName>
    <definedName name="belugabun117">新規別紙!$L$129</definedName>
    <definedName name="belugabun118">新規別紙!$L$130</definedName>
    <definedName name="belugabun119">新規別紙!$L$131</definedName>
    <definedName name="belugabun120">新規別紙!$L$132</definedName>
    <definedName name="belugabun121">新規別紙!$L$133</definedName>
    <definedName name="belugabun122">新規別紙!$L$134</definedName>
    <definedName name="belugabun123">新規別紙!$L$135</definedName>
    <definedName name="belugabun124">新規別紙!$L$136</definedName>
    <definedName name="belugabun125">新規別紙!$L$137</definedName>
    <definedName name="belugabun126">新規別紙!$L$138</definedName>
    <definedName name="belugabun127">新規別紙!$L$139</definedName>
    <definedName name="belugabun128">新規別紙!$L$140</definedName>
    <definedName name="belugabun129">新規別紙!$L$141</definedName>
    <definedName name="belugabun130">新規別紙!$L$142</definedName>
    <definedName name="belugabun131">新規別紙!$L$143</definedName>
    <definedName name="belugabun132">新規別紙!$L$144</definedName>
    <definedName name="belugabun133">新規別紙!$L$145</definedName>
    <definedName name="belugabun134">新規別紙!$L$146</definedName>
    <definedName name="belugabun135">新規別紙!$L$147</definedName>
    <definedName name="belugabun136">新規別紙!$L$148</definedName>
    <definedName name="belugabun137">新規別紙!$L$149</definedName>
    <definedName name="belugabun138">新規別紙!$L$150</definedName>
    <definedName name="belugabun139">新規別紙!$L$151</definedName>
    <definedName name="belugabun140">新規別紙!$L$152</definedName>
    <definedName name="belugabun141">新規別紙!$L$153</definedName>
    <definedName name="belugabun142">新規別紙!$L$154</definedName>
    <definedName name="belugabun143">新規別紙!$L$155</definedName>
    <definedName name="belugabun144">新規別紙!$L$156</definedName>
    <definedName name="belugabun145">新規別紙!$L$157</definedName>
    <definedName name="belugabun146">新規別紙!$L$158</definedName>
    <definedName name="belugabun147">新規別紙!$L$159</definedName>
    <definedName name="belugabun148">新規別紙!$L$160</definedName>
    <definedName name="belugabun149">新規別紙!$L$161</definedName>
    <definedName name="belugabun150">新規別紙!$L$162</definedName>
    <definedName name="belugabun151">新規別紙!$L$163</definedName>
    <definedName name="belugabun152">新規別紙!$L$164</definedName>
    <definedName name="belugabun153">新規別紙!$L$165</definedName>
    <definedName name="belugabun154">新規別紙!$L$166</definedName>
    <definedName name="belugabun155">新規別紙!$L$167</definedName>
    <definedName name="belugabun156">新規別紙!$L$168</definedName>
    <definedName name="belugabun157">新規別紙!$L$169</definedName>
    <definedName name="belugabun158">新規別紙!$L$170</definedName>
    <definedName name="belugabun159">新規別紙!$L$171</definedName>
    <definedName name="belugabun160">新規別紙!$L$172</definedName>
    <definedName name="belugabun161">新規別紙!$L$173</definedName>
    <definedName name="belugabun162">新規別紙!$L$174</definedName>
    <definedName name="belugabun163">新規別紙!$L$175</definedName>
    <definedName name="belugabun164">新規別紙!$L$176</definedName>
    <definedName name="belugabun165">新規別紙!$L$177</definedName>
    <definedName name="belugabun166">新規別紙!$L$178</definedName>
    <definedName name="belugabun167">新規別紙!$L$179</definedName>
    <definedName name="belugabun168">新規別紙!$L$180</definedName>
    <definedName name="belugabun169">新規別紙!$L$181</definedName>
    <definedName name="belugabun170">新規別紙!$L$182</definedName>
    <definedName name="belugabun171">新規別紙!$L$183</definedName>
    <definedName name="belugabun172">新規別紙!$L$184</definedName>
    <definedName name="belugabun173">新規別紙!$L$185</definedName>
    <definedName name="belugabun174">新規別紙!$L$186</definedName>
    <definedName name="belugabun175">新規別紙!$L$187</definedName>
    <definedName name="belugabun176">新規別紙!$L$188</definedName>
    <definedName name="belugabun177">新規別紙!$L$189</definedName>
    <definedName name="belugabun178">新規別紙!$L$190</definedName>
    <definedName name="belugabun179">新規別紙!$L$191</definedName>
    <definedName name="belugabun180">新規別紙!$L$192</definedName>
    <definedName name="belugabun181">新規別紙!$L$193</definedName>
    <definedName name="belugabun182">新規別紙!$L$194</definedName>
    <definedName name="belugabun183">新規別紙!$L$195</definedName>
    <definedName name="belugabun184">新規別紙!$L$196</definedName>
    <definedName name="belugabun185">新規別紙!$L$197</definedName>
    <definedName name="belugabun186">新規別紙!$L$198</definedName>
    <definedName name="belugabun187">新規別紙!$L$199</definedName>
    <definedName name="belugabun188">新規別紙!$L$200</definedName>
    <definedName name="belugabun189">新規別紙!$L$201</definedName>
    <definedName name="belugabun190">新規別紙!$L$202</definedName>
    <definedName name="belugabun191">新規別紙!$L$203</definedName>
    <definedName name="belugabun192">新規別紙!$L$204</definedName>
    <definedName name="belugabun193">新規別紙!$L$205</definedName>
    <definedName name="belugabun194">新規別紙!$L$206</definedName>
    <definedName name="belugabun195">新規別紙!$L$207</definedName>
    <definedName name="belugabun196">新規別紙!$L$208</definedName>
    <definedName name="belugabun197">新規別紙!$L$209</definedName>
    <definedName name="belugabun198">新規別紙!$L$210</definedName>
    <definedName name="belugabun199">新規別紙!$L$211</definedName>
    <definedName name="belugabun200">新規別紙!$L$212</definedName>
    <definedName name="belugabun201">新規別紙!$L$213</definedName>
    <definedName name="belugabun202">新規別紙!$L$214</definedName>
    <definedName name="belugabun203">新規別紙!$L$215</definedName>
    <definedName name="belugabun204">新規別紙!$L$216</definedName>
    <definedName name="belugabun205">新規別紙!$L$217</definedName>
    <definedName name="belugabun206">新規別紙!$L$218</definedName>
    <definedName name="belugabun207">新規別紙!$L$219</definedName>
    <definedName name="belugabun208">新規別紙!$L$220</definedName>
    <definedName name="belugabun209">新規別紙!$L$221</definedName>
    <definedName name="belugabun210">新規別紙!$L$222</definedName>
    <definedName name="belugabun211">新規別紙!$L$223</definedName>
    <definedName name="belugabun212">新規別紙!$L$224</definedName>
    <definedName name="belugabun213">新規別紙!$L$225</definedName>
    <definedName name="belugabun214">新規別紙!$L$226</definedName>
    <definedName name="belugabun215">新規別紙!$L$227</definedName>
    <definedName name="belugabun216">新規別紙!$L$228</definedName>
    <definedName name="belugabun217">新規別紙!$L$229</definedName>
    <definedName name="belugabun218">新規別紙!$L$230</definedName>
    <definedName name="belugabun219">新規別紙!$L$231</definedName>
    <definedName name="belugabun220">新規別紙!$L$232</definedName>
    <definedName name="belugabun221">新規別紙!$L$233</definedName>
    <definedName name="belugabun222">新規別紙!$L$234</definedName>
    <definedName name="belugabun223">新規別紙!$L$235</definedName>
    <definedName name="belugabun224">新規別紙!$L$236</definedName>
    <definedName name="belugabun225">新規別紙!$L$237</definedName>
    <definedName name="belugabun226">新規別紙!$L$238</definedName>
    <definedName name="belugabun227">新規別紙!$L$239</definedName>
    <definedName name="belugabun228">新規別紙!$L$240</definedName>
    <definedName name="belugabun229">新規別紙!$L$241</definedName>
    <definedName name="belugabun230">新規別紙!$L$242</definedName>
    <definedName name="belugabun231">新規別紙!$L$243</definedName>
    <definedName name="belugabun232">新規別紙!$L$244</definedName>
    <definedName name="belugabun233">新規別紙!$L$245</definedName>
    <definedName name="belugabun234">新規別紙!$L$246</definedName>
    <definedName name="belugabun235">新規別紙!$L$247</definedName>
    <definedName name="belugabun236">新規別紙!$L$248</definedName>
    <definedName name="belugabun237">新規別紙!$L$249</definedName>
    <definedName name="belugabun238">新規別紙!$L$250</definedName>
    <definedName name="belugabun239">新規別紙!$L$251</definedName>
    <definedName name="belugabun240">新規別紙!$L$252</definedName>
    <definedName name="belugabun241">新規別紙!$L$253</definedName>
    <definedName name="belugabun242">新規別紙!$L$254</definedName>
    <definedName name="belugabun243">新規別紙!$L$255</definedName>
    <definedName name="belugabun244">新規別紙!$L$256</definedName>
    <definedName name="belugabun245">新規別紙!$L$257</definedName>
    <definedName name="belugabun246">新規別紙!$L$258</definedName>
    <definedName name="belugabun247">新規別紙!$L$259</definedName>
    <definedName name="belugabun248">新規別紙!$L$260</definedName>
    <definedName name="belugabun249">新規別紙!$L$261</definedName>
    <definedName name="belugabun250">新規別紙!$L$262</definedName>
    <definedName name="belugabun251">新規別紙!$L$263</definedName>
    <definedName name="belugabun252">新規別紙!$L$264</definedName>
    <definedName name="belugabun253">新規別紙!$L$265</definedName>
    <definedName name="belugabun254">新規別紙!$L$266</definedName>
    <definedName name="belugabun255">新規別紙!$L$267</definedName>
    <definedName name="belugabun256">新規別紙!$L$268</definedName>
    <definedName name="belugabun257">新規別紙!$L$269</definedName>
    <definedName name="belugabun258">新規別紙!$L$270</definedName>
    <definedName name="belugabun259">新規別紙!$L$271</definedName>
    <definedName name="belugabun260">新規別紙!$L$272</definedName>
    <definedName name="belugabun261">新規別紙!$L$273</definedName>
    <definedName name="belugabun262">新規別紙!$L$274</definedName>
    <definedName name="belugabun263">新規別紙!$L$275</definedName>
    <definedName name="belugabun264">新規別紙!$L$276</definedName>
    <definedName name="belugabun265">新規別紙!$L$277</definedName>
    <definedName name="belugabun266">新規別紙!$L$278</definedName>
    <definedName name="belugabun267">新規別紙!$L$279</definedName>
    <definedName name="belugabun268">新規別紙!$L$280</definedName>
    <definedName name="belugabun269">新規別紙!$L$281</definedName>
    <definedName name="belugabun270">新規別紙!$L$282</definedName>
    <definedName name="belugabun271">新規別紙!$L$283</definedName>
    <definedName name="belugabun272">新規別紙!$L$284</definedName>
    <definedName name="belugabun273">新規別紙!$L$285</definedName>
    <definedName name="belugabun274">新規別紙!$L$286</definedName>
    <definedName name="belugabun275">新規別紙!$L$287</definedName>
    <definedName name="belugabun276">新規別紙!$L$288</definedName>
    <definedName name="belugabun277">新規別紙!$L$289</definedName>
    <definedName name="belugabun278">新規別紙!$L$290</definedName>
    <definedName name="belugabun279">新規別紙!$L$291</definedName>
    <definedName name="belugabun280">新規別紙!$L$292</definedName>
    <definedName name="belugabun281">新規別紙!$L$293</definedName>
    <definedName name="belugabun282">新規別紙!$L$294</definedName>
    <definedName name="belugabun283">新規別紙!$L$295</definedName>
    <definedName name="belugabun284">新規別紙!$L$296</definedName>
    <definedName name="belugabun285">新規別紙!$L$297</definedName>
    <definedName name="belugabun286">新規別紙!$L$298</definedName>
    <definedName name="belugabun287">新規別紙!$L$299</definedName>
    <definedName name="belugabun288">新規別紙!$L$300</definedName>
    <definedName name="belugabun289">新規別紙!$L$301</definedName>
    <definedName name="belugabun290">新規別紙!$L$302</definedName>
    <definedName name="belugabun291">新規別紙!$L$303</definedName>
    <definedName name="belugabun292">新規別紙!$L$304</definedName>
    <definedName name="belugabun293">新規別紙!$L$305</definedName>
    <definedName name="belugabun294">新規別紙!$L$306</definedName>
    <definedName name="belugabun295">新規別紙!$L$307</definedName>
    <definedName name="belugabun296">新規別紙!$L$308</definedName>
    <definedName name="belugabun297">新規別紙!$L$309</definedName>
    <definedName name="belugabun298">新規別紙!$L$310</definedName>
    <definedName name="belugabun299">新規別紙!$L$311</definedName>
    <definedName name="belugabun300">新規別紙!$L$312</definedName>
    <definedName name="belugabun301">新規別紙!$L$313</definedName>
    <definedName name="belugabun302">新規別紙!$L$314</definedName>
    <definedName name="belugabun303">新規別紙!$L$315</definedName>
    <definedName name="belugabun304">新規別紙!$L$316</definedName>
    <definedName name="belugabun305">新規別紙!$L$317</definedName>
    <definedName name="belugabun306">新規別紙!$L$318</definedName>
    <definedName name="belugabun307">新規別紙!$L$319</definedName>
    <definedName name="belugabun308">新規別紙!$L$320</definedName>
    <definedName name="belugabun309">新規別紙!$L$321</definedName>
    <definedName name="belugabun310">新規別紙!$L$322</definedName>
    <definedName name="belugabun311">新規別紙!$L$323</definedName>
    <definedName name="belugabun312">新規別紙!$L$324</definedName>
    <definedName name="belugabun313">新規別紙!$L$325</definedName>
    <definedName name="belugabun314">新規別紙!$L$326</definedName>
    <definedName name="belugabun315">新規別紙!$L$327</definedName>
    <definedName name="belugabun316">新規別紙!$L$328</definedName>
    <definedName name="belugabun317">新規別紙!$L$329</definedName>
    <definedName name="belugabun318">新規別紙!$L$330</definedName>
    <definedName name="belugabun319">新規別紙!$L$331</definedName>
    <definedName name="belugabun320">新規別紙!$L$332</definedName>
    <definedName name="belugabun321">新規別紙!$L$333</definedName>
    <definedName name="belugabun322">新規別紙!$L$334</definedName>
    <definedName name="belugabun323">新規別紙!$L$335</definedName>
    <definedName name="belugabun324">新規別紙!$L$336</definedName>
    <definedName name="belugabun325">新規別紙!$L$337</definedName>
    <definedName name="belugabun326">新規別紙!$L$338</definedName>
    <definedName name="belugabun327">新規別紙!$L$339</definedName>
    <definedName name="belugabun328">新規別紙!$L$340</definedName>
    <definedName name="belugabun329">新規別紙!$L$341</definedName>
    <definedName name="belugabun330">新規別紙!$L$342</definedName>
    <definedName name="belugabun331">新規別紙!$L$343</definedName>
    <definedName name="belugabun332">新規別紙!$L$344</definedName>
    <definedName name="belugabun333">新規別紙!$L$345</definedName>
    <definedName name="belugabun334">新規別紙!$L$346</definedName>
    <definedName name="belugabun335">新規別紙!$L$347</definedName>
    <definedName name="belugabun336">新規別紙!$L$348</definedName>
    <definedName name="belugabun337">新規別紙!$L$349</definedName>
    <definedName name="belugabun338">新規別紙!$L$350</definedName>
    <definedName name="belugabun339">新規別紙!$L$351</definedName>
    <definedName name="belugabun340">新規別紙!$L$352</definedName>
    <definedName name="belugabun341">新規別紙!$L$353</definedName>
    <definedName name="belugabun342">新規別紙!$L$354</definedName>
    <definedName name="belugabun343">新規別紙!$L$355</definedName>
    <definedName name="belugabun344">新規別紙!$L$356</definedName>
    <definedName name="belugabun345">新規別紙!$L$357</definedName>
    <definedName name="belugabun346">新規別紙!$L$358</definedName>
    <definedName name="belugabun347">新規別紙!$L$359</definedName>
    <definedName name="belugabun348">新規別紙!$L$360</definedName>
    <definedName name="belugabun349">新規別紙!$L$361</definedName>
    <definedName name="belugabun350">新規別紙!$L$362</definedName>
    <definedName name="belugabun351">新規別紙!$L$363</definedName>
    <definedName name="belugabun352">新規別紙!$L$364</definedName>
    <definedName name="belugabun353">新規別紙!$L$365</definedName>
    <definedName name="belugabun354">新規別紙!$L$366</definedName>
    <definedName name="belugabun355">新規別紙!$L$367</definedName>
    <definedName name="belugabun356">新規別紙!$L$368</definedName>
    <definedName name="belugabun357">新規別紙!$L$369</definedName>
    <definedName name="belugabun358">新規別紙!$L$370</definedName>
    <definedName name="belugabun359">新規別紙!$L$371</definedName>
    <definedName name="belugabun360">新規別紙!$L$372</definedName>
    <definedName name="belugabun361">新規別紙!$L$373</definedName>
    <definedName name="belugabun362">新規別紙!$L$374</definedName>
    <definedName name="belugabun363">新規別紙!$L$375</definedName>
    <definedName name="belugabun364">新規別紙!$L$376</definedName>
    <definedName name="belugabun365">新規別紙!$L$377</definedName>
    <definedName name="belugabun366">新規別紙!$L$378</definedName>
    <definedName name="belugabun367">新規別紙!$L$379</definedName>
    <definedName name="belugabun368">新規別紙!$L$380</definedName>
    <definedName name="belugabun369">新規別紙!$L$381</definedName>
    <definedName name="belugabun370">新規別紙!$L$382</definedName>
    <definedName name="belugabun371">新規別紙!$L$383</definedName>
    <definedName name="belugabun372">新規別紙!$L$384</definedName>
    <definedName name="belugabun373">新規別紙!$L$385</definedName>
    <definedName name="belugabun374">新規別紙!$L$386</definedName>
    <definedName name="belugabun375">新規別紙!$L$387</definedName>
    <definedName name="belugabun376">新規別紙!$L$388</definedName>
    <definedName name="belugabun377">新規別紙!$L$389</definedName>
    <definedName name="belugabun378">新規別紙!$L$390</definedName>
    <definedName name="belugabun379">新規別紙!$L$391</definedName>
    <definedName name="belugabun380">新規別紙!$L$392</definedName>
    <definedName name="belugabun381">新規別紙!$L$393</definedName>
    <definedName name="belugabun382">新規別紙!$L$394</definedName>
    <definedName name="belugabun383">新規別紙!$L$395</definedName>
    <definedName name="belugabun384">新規別紙!$L$396</definedName>
    <definedName name="belugabun385">新規別紙!$L$397</definedName>
    <definedName name="belugabun386">新規別紙!$L$398</definedName>
    <definedName name="belugabun387">新規別紙!$L$399</definedName>
    <definedName name="belugabun388">新規別紙!$L$400</definedName>
    <definedName name="belugabun389">新規別紙!$L$401</definedName>
    <definedName name="belugabun390">新規別紙!$L$402</definedName>
    <definedName name="belugabun391">新規別紙!$L$403</definedName>
    <definedName name="belugabun392">新規別紙!$L$404</definedName>
    <definedName name="belugabun393">新規別紙!$L$405</definedName>
    <definedName name="belugabun394">新規別紙!$L$406</definedName>
    <definedName name="belugabun395">新規別紙!$L$407</definedName>
    <definedName name="belugabun396">新規別紙!$L$408</definedName>
    <definedName name="belugabun397">新規別紙!$L$409</definedName>
    <definedName name="belugabun398">新規別紙!$L$410</definedName>
    <definedName name="belugabun399">新規別紙!$L$411</definedName>
    <definedName name="belugabun400">新規別紙!$L$412</definedName>
    <definedName name="belugabun401">新規別紙!$L$413</definedName>
    <definedName name="belugabun402">新規別紙!$L$414</definedName>
    <definedName name="belugabun403">新規別紙!$L$415</definedName>
    <definedName name="belugabun404">新規別紙!$L$416</definedName>
    <definedName name="belugabun405">新規別紙!$L$417</definedName>
    <definedName name="belugabun406">新規別紙!$L$418</definedName>
    <definedName name="belugabun407">新規別紙!$L$419</definedName>
    <definedName name="belugabun408">新規別紙!$L$420</definedName>
    <definedName name="belugabun409">新規別紙!$L$421</definedName>
    <definedName name="belugabun410">新規別紙!$L$422</definedName>
    <definedName name="belugabun411">新規別紙!$L$423</definedName>
    <definedName name="belugabun412">新規別紙!$L$424</definedName>
    <definedName name="belugabun413">新規別紙!$L$425</definedName>
    <definedName name="belugabun414">新規別紙!$L$426</definedName>
    <definedName name="belugabun415">新規別紙!$L$427</definedName>
    <definedName name="belugabun416">新規別紙!$L$428</definedName>
    <definedName name="belugabun417">新規別紙!$L$429</definedName>
    <definedName name="belugabun418">新規別紙!$L$430</definedName>
    <definedName name="belugabun419">新規別紙!$L$431</definedName>
    <definedName name="belugabun420">新規別紙!$L$432</definedName>
    <definedName name="belugabun421">新規別紙!$L$433</definedName>
    <definedName name="belugabun422">新規別紙!$L$434</definedName>
    <definedName name="belugabun423">新規別紙!$L$435</definedName>
    <definedName name="belugabun424">新規別紙!$L$436</definedName>
    <definedName name="belugabun425">新規別紙!$L$437</definedName>
    <definedName name="belugabun426">新規別紙!$L$438</definedName>
    <definedName name="belugabun427">新規別紙!$L$439</definedName>
    <definedName name="belugabun428">新規別紙!$L$440</definedName>
    <definedName name="belugabun429">新規別紙!$L$441</definedName>
    <definedName name="belugabun430">新規別紙!$L$442</definedName>
    <definedName name="belugabun431">新規別紙!$L$443</definedName>
    <definedName name="belugabun432">新規別紙!$L$444</definedName>
    <definedName name="belugabun433">新規別紙!$L$445</definedName>
    <definedName name="belugabun434">新規別紙!$L$446</definedName>
    <definedName name="belugabun435">新規別紙!$L$447</definedName>
    <definedName name="belugabun436">新規別紙!$L$448</definedName>
    <definedName name="belugabun437">新規別紙!$L$449</definedName>
    <definedName name="belugabun438">新規別紙!$L$450</definedName>
    <definedName name="belugabun439">新規別紙!$L$451</definedName>
    <definedName name="belugabun440">新規別紙!$L$452</definedName>
    <definedName name="belugabun441">新規別紙!$L$453</definedName>
    <definedName name="belugabun442">新規別紙!$L$454</definedName>
    <definedName name="belugabun443">新規別紙!$L$455</definedName>
    <definedName name="belugabun444">新規別紙!$L$456</definedName>
    <definedName name="belugabun445">新規別紙!$L$457</definedName>
    <definedName name="belugabun446">新規別紙!$L$458</definedName>
    <definedName name="belugabun447">新規別紙!$L$459</definedName>
    <definedName name="belugabun448">新規別紙!$L$460</definedName>
    <definedName name="belugabun449">新規別紙!$L$461</definedName>
    <definedName name="belugabun450">新規別紙!$L$462</definedName>
    <definedName name="belugabun451">新規別紙!$L$463</definedName>
    <definedName name="belugabun452">新規別紙!$L$464</definedName>
    <definedName name="belugabun453">新規別紙!$L$465</definedName>
    <definedName name="belugabun454">新規別紙!$L$466</definedName>
    <definedName name="belugabun455">新規別紙!$L$467</definedName>
    <definedName name="belugabun456">新規別紙!$L$468</definedName>
    <definedName name="belugabun457">新規別紙!$L$469</definedName>
    <definedName name="belugabun458">新規別紙!$L$470</definedName>
    <definedName name="belugabun459">新規別紙!$L$471</definedName>
    <definedName name="belugabun460">新規別紙!$L$472</definedName>
    <definedName name="belugabun461">新規別紙!$L$473</definedName>
    <definedName name="belugabun462">新規別紙!$L$474</definedName>
    <definedName name="belugabun463">新規別紙!$L$475</definedName>
    <definedName name="belugabun464">新規別紙!$L$476</definedName>
    <definedName name="belugabun465">新規別紙!$L$477</definedName>
    <definedName name="belugabun466">新規別紙!$L$478</definedName>
    <definedName name="belugabun467">新規別紙!$L$479</definedName>
    <definedName name="belugabun468">新規別紙!$L$480</definedName>
    <definedName name="belugabun469">新規別紙!$L$481</definedName>
    <definedName name="belugabun470">新規別紙!$L$482</definedName>
    <definedName name="belugabun471">新規別紙!$L$483</definedName>
    <definedName name="belugabun472">新規別紙!$L$484</definedName>
    <definedName name="belugabun473">新規別紙!$L$485</definedName>
    <definedName name="belugabun474">新規別紙!$L$486</definedName>
    <definedName name="belugabun475">新規別紙!$L$487</definedName>
    <definedName name="belugabun476">新規別紙!$L$488</definedName>
    <definedName name="belugabun477">新規別紙!$L$489</definedName>
    <definedName name="belugabun478">新規別紙!$L$490</definedName>
    <definedName name="belugabun479">新規別紙!$L$491</definedName>
    <definedName name="belugabun480">新規別紙!$L$492</definedName>
    <definedName name="belugabun481">新規別紙!$L$493</definedName>
    <definedName name="belugabun482">新規別紙!$L$494</definedName>
    <definedName name="belugabun483">新規別紙!$L$495</definedName>
    <definedName name="belugabun484">新規別紙!$L$496</definedName>
    <definedName name="belugabun485">新規別紙!$L$497</definedName>
    <definedName name="belugabun486">新規別紙!$L$498</definedName>
    <definedName name="belugabun487">新規別紙!$L$499</definedName>
    <definedName name="belugabun488">新規別紙!$L$500</definedName>
    <definedName name="belugabun489">新規別紙!$L$501</definedName>
    <definedName name="belugabun490">新規別紙!$L$502</definedName>
    <definedName name="belugabun491">新規別紙!$L$503</definedName>
    <definedName name="belugabun492">新規別紙!$L$504</definedName>
    <definedName name="belugabun493">新規別紙!$L$505</definedName>
    <definedName name="belugabun494">新規別紙!$L$506</definedName>
    <definedName name="belugabun495">新規別紙!$L$507</definedName>
    <definedName name="belugabun496">新規別紙!$L$508</definedName>
    <definedName name="belugabun497">新規別紙!$L$509</definedName>
    <definedName name="belugabun498">新規別紙!$L$510</definedName>
    <definedName name="belugabun499">新規別紙!$L$511</definedName>
    <definedName name="belugabun500">新規別紙!$L$512</definedName>
    <definedName name="belugabunyn001">新規別紙!$K$13</definedName>
    <definedName name="belugabunyn002">新規別紙!$K$14</definedName>
    <definedName name="belugabunyn003">新規別紙!$K$15</definedName>
    <definedName name="belugabunyn004">新規別紙!$K$16</definedName>
    <definedName name="belugabunyn005">新規別紙!$K$17</definedName>
    <definedName name="belugabunyn006">新規別紙!$K$18</definedName>
    <definedName name="belugabunyn007">新規別紙!$K$19</definedName>
    <definedName name="belugabunyn008">新規別紙!$K$20</definedName>
    <definedName name="belugabunyn009">新規別紙!$K$21</definedName>
    <definedName name="belugabunyn010">新規別紙!$K$22</definedName>
    <definedName name="belugabunyn011">新規別紙!$K$23</definedName>
    <definedName name="belugabunyn012">新規別紙!$K$24</definedName>
    <definedName name="belugabunyn013">新規別紙!$K$25</definedName>
    <definedName name="belugabunyn014">新規別紙!$K$26</definedName>
    <definedName name="belugabunyn015">新規別紙!$K$27</definedName>
    <definedName name="belugabunyn016">新規別紙!$K$28</definedName>
    <definedName name="belugabunyn017">新規別紙!$K$29</definedName>
    <definedName name="belugabunyn018">新規別紙!$K$30</definedName>
    <definedName name="belugabunyn019">新規別紙!$K$31</definedName>
    <definedName name="belugabunyn020">新規別紙!$K$32</definedName>
    <definedName name="belugabunyn021">新規別紙!$K$33</definedName>
    <definedName name="belugabunyn022">新規別紙!$K$34</definedName>
    <definedName name="belugabunyn023">新規別紙!$K$35</definedName>
    <definedName name="belugabunyn024">新規別紙!$K$36</definedName>
    <definedName name="belugabunyn025">新規別紙!$K$37</definedName>
    <definedName name="belugabunyn026">新規別紙!$K$38</definedName>
    <definedName name="belugabunyn027">新規別紙!$K$39</definedName>
    <definedName name="belugabunyn028">新規別紙!$K$40</definedName>
    <definedName name="belugabunyn029">新規別紙!$K$41</definedName>
    <definedName name="belugabunyn030">新規別紙!$K$42</definedName>
    <definedName name="belugabunyn031">新規別紙!$K$43</definedName>
    <definedName name="belugabunyn032">新規別紙!$K$44</definedName>
    <definedName name="belugabunyn033">新規別紙!$K$45</definedName>
    <definedName name="belugabunyn034">新規別紙!$K$46</definedName>
    <definedName name="belugabunyn035">新規別紙!$K$47</definedName>
    <definedName name="belugabunyn036">新規別紙!$K$48</definedName>
    <definedName name="belugabunyn037">新規別紙!$K$49</definedName>
    <definedName name="belugabunyn038">新規別紙!$K$50</definedName>
    <definedName name="belugabunyn039">新規別紙!$K$51</definedName>
    <definedName name="belugabunyn040">新規別紙!$K$52</definedName>
    <definedName name="belugabunyn041">新規別紙!$K$53</definedName>
    <definedName name="belugabunyn042">新規別紙!$K$54</definedName>
    <definedName name="belugabunyn043">新規別紙!$K$55</definedName>
    <definedName name="belugabunyn044">新規別紙!$K$56</definedName>
    <definedName name="belugabunyn045">新規別紙!$K$57</definedName>
    <definedName name="belugabunyn046">新規別紙!$K$58</definedName>
    <definedName name="belugabunyn047">新規別紙!$K$59</definedName>
    <definedName name="belugabunyn048">新規別紙!$K$60</definedName>
    <definedName name="belugabunyn049">新規別紙!$K$61</definedName>
    <definedName name="belugabunyn050">新規別紙!$K$62</definedName>
    <definedName name="belugabunyn051">新規別紙!$K$63</definedName>
    <definedName name="belugabunyn052">新規別紙!$K$64</definedName>
    <definedName name="belugabunyn053">新規別紙!$K$65</definedName>
    <definedName name="belugabunyn054">新規別紙!$K$66</definedName>
    <definedName name="belugabunyn055">新規別紙!$K$67</definedName>
    <definedName name="belugabunyn056">新規別紙!$K$68</definedName>
    <definedName name="belugabunyn057">新規別紙!$K$69</definedName>
    <definedName name="belugabunyn058">新規別紙!$K$70</definedName>
    <definedName name="belugabunyn059">新規別紙!$K$71</definedName>
    <definedName name="belugabunyn060">新規別紙!$K$72</definedName>
    <definedName name="belugabunyn061">新規別紙!$K$73</definedName>
    <definedName name="belugabunyn062">新規別紙!$K$74</definedName>
    <definedName name="belugabunyn063">新規別紙!$K$75</definedName>
    <definedName name="belugabunyn064">新規別紙!$K$76</definedName>
    <definedName name="belugabunyn065">新規別紙!$K$77</definedName>
    <definedName name="belugabunyn066">新規別紙!$K$78</definedName>
    <definedName name="belugabunyn067">新規別紙!$K$79</definedName>
    <definedName name="belugabunyn068">新規別紙!$K$80</definedName>
    <definedName name="belugabunyn069">新規別紙!$K$81</definedName>
    <definedName name="belugabunyn070">新規別紙!$K$82</definedName>
    <definedName name="belugabunyn071">新規別紙!$K$83</definedName>
    <definedName name="belugabunyn072">新規別紙!$K$84</definedName>
    <definedName name="belugabunyn073">新規別紙!$K$85</definedName>
    <definedName name="belugabunyn074">新規別紙!$K$86</definedName>
    <definedName name="belugabunyn075">新規別紙!$K$87</definedName>
    <definedName name="belugabunyn076">新規別紙!$K$88</definedName>
    <definedName name="belugabunyn077">新規別紙!$K$89</definedName>
    <definedName name="belugabunyn078">新規別紙!$K$90</definedName>
    <definedName name="belugabunyn079">新規別紙!$K$91</definedName>
    <definedName name="belugabunyn080">新規別紙!$K$92</definedName>
    <definedName name="belugabunyn081">新規別紙!$K$93</definedName>
    <definedName name="belugabunyn082">新規別紙!$K$94</definedName>
    <definedName name="belugabunyn083">新規別紙!$K$95</definedName>
    <definedName name="belugabunyn084">新規別紙!$K$96</definedName>
    <definedName name="belugabunyn085">新規別紙!$K$97</definedName>
    <definedName name="belugabunyn086">新規別紙!$K$98</definedName>
    <definedName name="belugabunyn087">新規別紙!$K$99</definedName>
    <definedName name="belugabunyn088">新規別紙!$K$100</definedName>
    <definedName name="belugabunyn089">新規別紙!$K$101</definedName>
    <definedName name="belugabunyn090">新規別紙!$K$102</definedName>
    <definedName name="belugabunyn091">新規別紙!$K$103</definedName>
    <definedName name="belugabunyn092">新規別紙!$K$104</definedName>
    <definedName name="belugabunyn093">新規別紙!$K$105</definedName>
    <definedName name="belugabunyn094">新規別紙!$K$106</definedName>
    <definedName name="belugabunyn095">新規別紙!$K$107</definedName>
    <definedName name="belugabunyn096">新規別紙!$K$108</definedName>
    <definedName name="belugabunyn097">新規別紙!$K$109</definedName>
    <definedName name="belugabunyn098">新規別紙!$K$110</definedName>
    <definedName name="belugabunyn099">新規別紙!$K$111</definedName>
    <definedName name="belugabunyn100">新規別紙!$K$112</definedName>
    <definedName name="belugabunyn101">新規別紙!$K$113</definedName>
    <definedName name="belugabunyn102">新規別紙!$K$114</definedName>
    <definedName name="belugabunyn103">新規別紙!$K$115</definedName>
    <definedName name="belugabunyn104">新規別紙!$K$116</definedName>
    <definedName name="belugabunyn105">新規別紙!$K$117</definedName>
    <definedName name="belugabunyn106">新規別紙!$K$118</definedName>
    <definedName name="belugabunyn107">新規別紙!$K$119</definedName>
    <definedName name="belugabunyn108">新規別紙!$K$120</definedName>
    <definedName name="belugabunyn109">新規別紙!$K$121</definedName>
    <definedName name="belugabunyn110">新規別紙!$K$122</definedName>
    <definedName name="belugabunyn111">新規別紙!$K$123</definedName>
    <definedName name="belugabunyn112">新規別紙!$K$124</definedName>
    <definedName name="belugabunyn113">新規別紙!$K$125</definedName>
    <definedName name="belugabunyn114">新規別紙!$K$126</definedName>
    <definedName name="belugabunyn115">新規別紙!$K$127</definedName>
    <definedName name="belugabunyn116">新規別紙!$K$128</definedName>
    <definedName name="belugabunyn117">新規別紙!$K$129</definedName>
    <definedName name="belugabunyn118">新規別紙!$K$130</definedName>
    <definedName name="belugabunyn119">新規別紙!$K$131</definedName>
    <definedName name="belugabunyn120">新規別紙!$K$132</definedName>
    <definedName name="belugabunyn121">新規別紙!$K$133</definedName>
    <definedName name="belugabunyn122">新規別紙!$K$134</definedName>
    <definedName name="belugabunyn123">新規別紙!$K$135</definedName>
    <definedName name="belugabunyn124">新規別紙!$K$136</definedName>
    <definedName name="belugabunyn125">新規別紙!$K$137</definedName>
    <definedName name="belugabunyn126">新規別紙!$K$138</definedName>
    <definedName name="belugabunyn127">新規別紙!$K$139</definedName>
    <definedName name="belugabunyn128">新規別紙!$K$140</definedName>
    <definedName name="belugabunyn129">新規別紙!$K$141</definedName>
    <definedName name="belugabunyn130">新規別紙!$K$142</definedName>
    <definedName name="belugabunyn131">新規別紙!$K$143</definedName>
    <definedName name="belugabunyn132">新規別紙!$K$144</definedName>
    <definedName name="belugabunyn133">新規別紙!$K$145</definedName>
    <definedName name="belugabunyn134">新規別紙!$K$146</definedName>
    <definedName name="belugabunyn135">新規別紙!$K$147</definedName>
    <definedName name="belugabunyn136">新規別紙!$K$148</definedName>
    <definedName name="belugabunyn137">新規別紙!$K$149</definedName>
    <definedName name="belugabunyn138">新規別紙!$K$150</definedName>
    <definedName name="belugabunyn139">新規別紙!$K$151</definedName>
    <definedName name="belugabunyn140">新規別紙!$K$152</definedName>
    <definedName name="belugabunyn141">新規別紙!$K$153</definedName>
    <definedName name="belugabunyn142">新規別紙!$K$154</definedName>
    <definedName name="belugabunyn143">新規別紙!$K$155</definedName>
    <definedName name="belugabunyn144">新規別紙!$K$156</definedName>
    <definedName name="belugabunyn145">新規別紙!$K$157</definedName>
    <definedName name="belugabunyn146">新規別紙!$K$158</definedName>
    <definedName name="belugabunyn147">新規別紙!$K$159</definedName>
    <definedName name="belugabunyn148">新規別紙!$K$160</definedName>
    <definedName name="belugabunyn149">新規別紙!$K$161</definedName>
    <definedName name="belugabunyn150">新規別紙!$K$162</definedName>
    <definedName name="belugabunyn151">新規別紙!$K$163</definedName>
    <definedName name="belugabunyn152">新規別紙!$K$164</definedName>
    <definedName name="belugabunyn153">新規別紙!$K$165</definedName>
    <definedName name="belugabunyn154">新規別紙!$K$166</definedName>
    <definedName name="belugabunyn155">新規別紙!$K$167</definedName>
    <definedName name="belugabunyn156">新規別紙!$K$168</definedName>
    <definedName name="belugabunyn157">新規別紙!$K$169</definedName>
    <definedName name="belugabunyn158">新規別紙!$K$170</definedName>
    <definedName name="belugabunyn159">新規別紙!$K$171</definedName>
    <definedName name="belugabunyn160">新規別紙!$K$172</definedName>
    <definedName name="belugabunyn161">新規別紙!$K$173</definedName>
    <definedName name="belugabunyn162">新規別紙!$K$174</definedName>
    <definedName name="belugabunyn163">新規別紙!$K$175</definedName>
    <definedName name="belugabunyn164">新規別紙!$K$176</definedName>
    <definedName name="belugabunyn165">新規別紙!$K$177</definedName>
    <definedName name="belugabunyn166">新規別紙!$K$178</definedName>
    <definedName name="belugabunyn167">新規別紙!$K$179</definedName>
    <definedName name="belugabunyn168">新規別紙!$K$180</definedName>
    <definedName name="belugabunyn169">新規別紙!$K$181</definedName>
    <definedName name="belugabunyn170">新規別紙!$K$182</definedName>
    <definedName name="belugabunyn171">新規別紙!$K$183</definedName>
    <definedName name="belugabunyn172">新規別紙!$K$184</definedName>
    <definedName name="belugabunyn173">新規別紙!$K$185</definedName>
    <definedName name="belugabunyn174">新規別紙!$K$186</definedName>
    <definedName name="belugabunyn175">新規別紙!$K$187</definedName>
    <definedName name="belugabunyn176">新規別紙!$K$188</definedName>
    <definedName name="belugabunyn177">新規別紙!$K$189</definedName>
    <definedName name="belugabunyn178">新規別紙!$K$190</definedName>
    <definedName name="belugabunyn179">新規別紙!$K$191</definedName>
    <definedName name="belugabunyn180">新規別紙!$K$192</definedName>
    <definedName name="belugabunyn181">新規別紙!$K$193</definedName>
    <definedName name="belugabunyn182">新規別紙!$K$194</definedName>
    <definedName name="belugabunyn183">新規別紙!$K$195</definedName>
    <definedName name="belugabunyn184">新規別紙!$K$196</definedName>
    <definedName name="belugabunyn185">新規別紙!$K$197</definedName>
    <definedName name="belugabunyn186">新規別紙!$K$198</definedName>
    <definedName name="belugabunyn187">新規別紙!$K$199</definedName>
    <definedName name="belugabunyn188">新規別紙!$K$200</definedName>
    <definedName name="belugabunyn189">新規別紙!$K$201</definedName>
    <definedName name="belugabunyn190">新規別紙!$K$202</definedName>
    <definedName name="belugabunyn191">新規別紙!$K$203</definedName>
    <definedName name="belugabunyn192">新規別紙!$K$204</definedName>
    <definedName name="belugabunyn193">新規別紙!$K$205</definedName>
    <definedName name="belugabunyn194">新規別紙!$K$206</definedName>
    <definedName name="belugabunyn195">新規別紙!$K$207</definedName>
    <definedName name="belugabunyn196">新規別紙!$K$208</definedName>
    <definedName name="belugabunyn197">新規別紙!$K$209</definedName>
    <definedName name="belugabunyn198">新規別紙!$K$210</definedName>
    <definedName name="belugabunyn199">新規別紙!$K$211</definedName>
    <definedName name="belugabunyn200">新規別紙!$K$212</definedName>
    <definedName name="belugabunyn201">新規別紙!$K$213</definedName>
    <definedName name="belugabunyn202">新規別紙!$K$214</definedName>
    <definedName name="belugabunyn203">新規別紙!$K$215</definedName>
    <definedName name="belugabunyn204">新規別紙!$K$216</definedName>
    <definedName name="belugabunyn205">新規別紙!$K$217</definedName>
    <definedName name="belugabunyn206">新規別紙!$K$218</definedName>
    <definedName name="belugabunyn207">新規別紙!$K$219</definedName>
    <definedName name="belugabunyn208">新規別紙!$K$220</definedName>
    <definedName name="belugabunyn209">新規別紙!$K$221</definedName>
    <definedName name="belugabunyn210">新規別紙!$K$222</definedName>
    <definedName name="belugabunyn211">新規別紙!$K$223</definedName>
    <definedName name="belugabunyn212">新規別紙!$K$224</definedName>
    <definedName name="belugabunyn213">新規別紙!$K$225</definedName>
    <definedName name="belugabunyn214">新規別紙!$K$226</definedName>
    <definedName name="belugabunyn215">新規別紙!$K$227</definedName>
    <definedName name="belugabunyn216">新規別紙!$K$228</definedName>
    <definedName name="belugabunyn217">新規別紙!$K$229</definedName>
    <definedName name="belugabunyn218">新規別紙!$K$230</definedName>
    <definedName name="belugabunyn219">新規別紙!$K$231</definedName>
    <definedName name="belugabunyn220">新規別紙!$K$232</definedName>
    <definedName name="belugabunyn221">新規別紙!$K$233</definedName>
    <definedName name="belugabunyn222">新規別紙!$K$234</definedName>
    <definedName name="belugabunyn223">新規別紙!$K$235</definedName>
    <definedName name="belugabunyn224">新規別紙!$K$236</definedName>
    <definedName name="belugabunyn225">新規別紙!$K$237</definedName>
    <definedName name="belugabunyn226">新規別紙!$K$238</definedName>
    <definedName name="belugabunyn227">新規別紙!$K$239</definedName>
    <definedName name="belugabunyn228">新規別紙!$K$240</definedName>
    <definedName name="belugabunyn229">新規別紙!$K$241</definedName>
    <definedName name="belugabunyn230">新規別紙!$K$242</definedName>
    <definedName name="belugabunyn231">新規別紙!$K$243</definedName>
    <definedName name="belugabunyn232">新規別紙!$K$244</definedName>
    <definedName name="belugabunyn233">新規別紙!$K$245</definedName>
    <definedName name="belugabunyn234">新規別紙!$K$246</definedName>
    <definedName name="belugabunyn235">新規別紙!$K$247</definedName>
    <definedName name="belugabunyn236">新規別紙!$K$248</definedName>
    <definedName name="belugabunyn237">新規別紙!$K$249</definedName>
    <definedName name="belugabunyn238">新規別紙!$K$250</definedName>
    <definedName name="belugabunyn239">新規別紙!$K$251</definedName>
    <definedName name="belugabunyn240">新規別紙!$K$252</definedName>
    <definedName name="belugabunyn241">新規別紙!$K$253</definedName>
    <definedName name="belugabunyn242">新規別紙!$K$254</definedName>
    <definedName name="belugabunyn243">新規別紙!$K$255</definedName>
    <definedName name="belugabunyn244">新規別紙!$K$256</definedName>
    <definedName name="belugabunyn245">新規別紙!$K$257</definedName>
    <definedName name="belugabunyn246">新規別紙!$K$258</definedName>
    <definedName name="belugabunyn247">新規別紙!$K$259</definedName>
    <definedName name="belugabunyn248">新規別紙!$K$260</definedName>
    <definedName name="belugabunyn249">新規別紙!$K$261</definedName>
    <definedName name="belugabunyn250">新規別紙!$K$262</definedName>
    <definedName name="belugabunyn251">新規別紙!$K$263</definedName>
    <definedName name="belugabunyn252">新規別紙!$K$264</definedName>
    <definedName name="belugabunyn253">新規別紙!$K$265</definedName>
    <definedName name="belugabunyn254">新規別紙!$K$266</definedName>
    <definedName name="belugabunyn255">新規別紙!$K$267</definedName>
    <definedName name="belugabunyn256">新規別紙!$K$268</definedName>
    <definedName name="belugabunyn257">新規別紙!$K$269</definedName>
    <definedName name="belugabunyn258">新規別紙!$K$270</definedName>
    <definedName name="belugabunyn259">新規別紙!$K$271</definedName>
    <definedName name="belugabunyn260">新規別紙!$K$272</definedName>
    <definedName name="belugabunyn261">新規別紙!$K$273</definedName>
    <definedName name="belugabunyn262">新規別紙!$K$274</definedName>
    <definedName name="belugabunyn263">新規別紙!$K$275</definedName>
    <definedName name="belugabunyn264">新規別紙!$K$276</definedName>
    <definedName name="belugabunyn265">新規別紙!$K$277</definedName>
    <definedName name="belugabunyn266">新規別紙!$K$278</definedName>
    <definedName name="belugabunyn267">新規別紙!$K$279</definedName>
    <definedName name="belugabunyn268">新規別紙!$K$280</definedName>
    <definedName name="belugabunyn269">新規別紙!$K$281</definedName>
    <definedName name="belugabunyn270">新規別紙!$K$282</definedName>
    <definedName name="belugabunyn271">新規別紙!$K$283</definedName>
    <definedName name="belugabunyn272">新規別紙!$K$284</definedName>
    <definedName name="belugabunyn273">新規別紙!$K$285</definedName>
    <definedName name="belugabunyn274">新規別紙!$K$286</definedName>
    <definedName name="belugabunyn275">新規別紙!$K$287</definedName>
    <definedName name="belugabunyn276">新規別紙!$K$288</definedName>
    <definedName name="belugabunyn277">新規別紙!$K$289</definedName>
    <definedName name="belugabunyn278">新規別紙!$K$290</definedName>
    <definedName name="belugabunyn279">新規別紙!$K$291</definedName>
    <definedName name="belugabunyn280">新規別紙!$K$292</definedName>
    <definedName name="belugabunyn281">新規別紙!$K$293</definedName>
    <definedName name="belugabunyn282">新規別紙!$K$294</definedName>
    <definedName name="belugabunyn283">新規別紙!$K$295</definedName>
    <definedName name="belugabunyn284">新規別紙!$K$296</definedName>
    <definedName name="belugabunyn285">新規別紙!$K$297</definedName>
    <definedName name="belugabunyn286">新規別紙!$K$298</definedName>
    <definedName name="belugabunyn287">新規別紙!$K$299</definedName>
    <definedName name="belugabunyn288">新規別紙!$K$300</definedName>
    <definedName name="belugabunyn289">新規別紙!$K$301</definedName>
    <definedName name="belugabunyn290">新規別紙!$K$302</definedName>
    <definedName name="belugabunyn291">新規別紙!$K$303</definedName>
    <definedName name="belugabunyn292">新規別紙!$K$304</definedName>
    <definedName name="belugabunyn293">新規別紙!$K$305</definedName>
    <definedName name="belugabunyn294">新規別紙!$K$306</definedName>
    <definedName name="belugabunyn295">新規別紙!$K$307</definedName>
    <definedName name="belugabunyn296">新規別紙!$K$308</definedName>
    <definedName name="belugabunyn297">新規別紙!$K$309</definedName>
    <definedName name="belugabunyn298">新規別紙!$K$310</definedName>
    <definedName name="belugabunyn299">新規別紙!$K$311</definedName>
    <definedName name="belugabunyn300">新規別紙!$K$312</definedName>
    <definedName name="belugabunyn301">新規別紙!$K$313</definedName>
    <definedName name="belugabunyn302">新規別紙!$K$314</definedName>
    <definedName name="belugabunyn303">新規別紙!$K$315</definedName>
    <definedName name="belugabunyn304">新規別紙!$K$316</definedName>
    <definedName name="belugabunyn305">新規別紙!$K$317</definedName>
    <definedName name="belugabunyn306">新規別紙!$K$318</definedName>
    <definedName name="belugabunyn307">新規別紙!$K$319</definedName>
    <definedName name="belugabunyn308">新規別紙!$K$320</definedName>
    <definedName name="belugabunyn309">新規別紙!$K$321</definedName>
    <definedName name="belugabunyn310">新規別紙!$K$322</definedName>
    <definedName name="belugabunyn311">新規別紙!$K$323</definedName>
    <definedName name="belugabunyn312">新規別紙!$K$324</definedName>
    <definedName name="belugabunyn313">新規別紙!$K$325</definedName>
    <definedName name="belugabunyn314">新規別紙!$K$326</definedName>
    <definedName name="belugabunyn315">新規別紙!$K$327</definedName>
    <definedName name="belugabunyn316">新規別紙!$K$328</definedName>
    <definedName name="belugabunyn317">新規別紙!$K$329</definedName>
    <definedName name="belugabunyn318">新規別紙!$K$330</definedName>
    <definedName name="belugabunyn319">新規別紙!$K$331</definedName>
    <definedName name="belugabunyn320">新規別紙!$K$332</definedName>
    <definedName name="belugabunyn321">新規別紙!$K$333</definedName>
    <definedName name="belugabunyn322">新規別紙!$K$334</definedName>
    <definedName name="belugabunyn323">新規別紙!$K$335</definedName>
    <definedName name="belugabunyn324">新規別紙!$K$336</definedName>
    <definedName name="belugabunyn325">新規別紙!$K$337</definedName>
    <definedName name="belugabunyn326">新規別紙!$K$338</definedName>
    <definedName name="belugabunyn327">新規別紙!$K$339</definedName>
    <definedName name="belugabunyn328">新規別紙!$K$340</definedName>
    <definedName name="belugabunyn329">新規別紙!$K$341</definedName>
    <definedName name="belugabunyn330">新規別紙!$K$342</definedName>
    <definedName name="belugabunyn331">新規別紙!$K$343</definedName>
    <definedName name="belugabunyn332">新規別紙!$K$344</definedName>
    <definedName name="belugabunyn333">新規別紙!$K$345</definedName>
    <definedName name="belugabunyn334">新規別紙!$K$346</definedName>
    <definedName name="belugabunyn335">新規別紙!$K$347</definedName>
    <definedName name="belugabunyn336">新規別紙!$K$348</definedName>
    <definedName name="belugabunyn337">新規別紙!$K$349</definedName>
    <definedName name="belugabunyn338">新規別紙!$K$350</definedName>
    <definedName name="belugabunyn339">新規別紙!$K$351</definedName>
    <definedName name="belugabunyn340">新規別紙!$K$352</definedName>
    <definedName name="belugabunyn341">新規別紙!$K$353</definedName>
    <definedName name="belugabunyn342">新規別紙!$K$354</definedName>
    <definedName name="belugabunyn343">新規別紙!$K$355</definedName>
    <definedName name="belugabunyn344">新規別紙!$K$356</definedName>
    <definedName name="belugabunyn345">新規別紙!$K$357</definedName>
    <definedName name="belugabunyn346">新規別紙!$K$358</definedName>
    <definedName name="belugabunyn347">新規別紙!$K$359</definedName>
    <definedName name="belugabunyn348">新規別紙!$K$360</definedName>
    <definedName name="belugabunyn349">新規別紙!$K$361</definedName>
    <definedName name="belugabunyn350">新規別紙!$K$362</definedName>
    <definedName name="belugabunyn351">新規別紙!$K$363</definedName>
    <definedName name="belugabunyn352">新規別紙!$K$364</definedName>
    <definedName name="belugabunyn353">新規別紙!$K$365</definedName>
    <definedName name="belugabunyn354">新規別紙!$K$366</definedName>
    <definedName name="belugabunyn355">新規別紙!$K$367</definedName>
    <definedName name="belugabunyn356">新規別紙!$K$368</definedName>
    <definedName name="belugabunyn357">新規別紙!$K$369</definedName>
    <definedName name="belugabunyn358">新規別紙!$K$370</definedName>
    <definedName name="belugabunyn359">新規別紙!$K$371</definedName>
    <definedName name="belugabunyn360">新規別紙!$K$372</definedName>
    <definedName name="belugabunyn361">新規別紙!$K$373</definedName>
    <definedName name="belugabunyn362">新規別紙!$K$374</definedName>
    <definedName name="belugabunyn363">新規別紙!$K$375</definedName>
    <definedName name="belugabunyn364">新規別紙!$K$376</definedName>
    <definedName name="belugabunyn365">新規別紙!$K$377</definedName>
    <definedName name="belugabunyn366">新規別紙!$K$378</definedName>
    <definedName name="belugabunyn367">新規別紙!$K$379</definedName>
    <definedName name="belugabunyn368">新規別紙!$K$380</definedName>
    <definedName name="belugabunyn369">新規別紙!$K$381</definedName>
    <definedName name="belugabunyn370">新規別紙!$K$382</definedName>
    <definedName name="belugabunyn371">新規別紙!$K$383</definedName>
    <definedName name="belugabunyn372">新規別紙!$K$384</definedName>
    <definedName name="belugabunyn373">新規別紙!$K$385</definedName>
    <definedName name="belugabunyn374">新規別紙!$K$386</definedName>
    <definedName name="belugabunyn375">新規別紙!$K$387</definedName>
    <definedName name="belugabunyn376">新規別紙!$K$388</definedName>
    <definedName name="belugabunyn377">新規別紙!$K$389</definedName>
    <definedName name="belugabunyn378">新規別紙!$K$390</definedName>
    <definedName name="belugabunyn379">新規別紙!$K$391</definedName>
    <definedName name="belugabunyn380">新規別紙!$K$392</definedName>
    <definedName name="belugabunyn381">新規別紙!$K$393</definedName>
    <definedName name="belugabunyn382">新規別紙!$K$394</definedName>
    <definedName name="belugabunyn383">新規別紙!$K$395</definedName>
    <definedName name="belugabunyn384">新規別紙!$K$396</definedName>
    <definedName name="belugabunyn385">新規別紙!$K$397</definedName>
    <definedName name="belugabunyn386">新規別紙!$K$398</definedName>
    <definedName name="belugabunyn387">新規別紙!$K$399</definedName>
    <definedName name="belugabunyn388">新規別紙!$K$400</definedName>
    <definedName name="belugabunyn389">新規別紙!$K$401</definedName>
    <definedName name="belugabunyn390">新規別紙!$K$402</definedName>
    <definedName name="belugabunyn391">新規別紙!$K$403</definedName>
    <definedName name="belugabunyn392">新規別紙!$K$404</definedName>
    <definedName name="belugabunyn393">新規別紙!$K$405</definedName>
    <definedName name="belugabunyn394">新規別紙!$K$406</definedName>
    <definedName name="belugabunyn395">新規別紙!$K$407</definedName>
    <definedName name="belugabunyn396">新規別紙!$K$408</definedName>
    <definedName name="belugabunyn397">新規別紙!$K$409</definedName>
    <definedName name="belugabunyn398">新規別紙!$K$410</definedName>
    <definedName name="belugabunyn399">新規別紙!$K$411</definedName>
    <definedName name="belugabunyn400">新規別紙!$K$412</definedName>
    <definedName name="belugabunyn401">新規別紙!$K$413</definedName>
    <definedName name="belugabunyn402">新規別紙!$K$414</definedName>
    <definedName name="belugabunyn403">新規別紙!$K$415</definedName>
    <definedName name="belugabunyn404">新規別紙!$K$416</definedName>
    <definedName name="belugabunyn405">新規別紙!$K$417</definedName>
    <definedName name="belugabunyn406">新規別紙!$K$418</definedName>
    <definedName name="belugabunyn407">新規別紙!$K$419</definedName>
    <definedName name="belugabunyn408">新規別紙!$K$420</definedName>
    <definedName name="belugabunyn409">新規別紙!$K$421</definedName>
    <definedName name="belugabunyn410">新規別紙!$K$422</definedName>
    <definedName name="belugabunyn411">新規別紙!$K$423</definedName>
    <definedName name="belugabunyn412">新規別紙!$K$424</definedName>
    <definedName name="belugabunyn413">新規別紙!$K$425</definedName>
    <definedName name="belugabunyn414">新規別紙!$K$426</definedName>
    <definedName name="belugabunyn415">新規別紙!$K$427</definedName>
    <definedName name="belugabunyn416">新規別紙!$K$428</definedName>
    <definedName name="belugabunyn417">新規別紙!$K$429</definedName>
    <definedName name="belugabunyn418">新規別紙!$K$430</definedName>
    <definedName name="belugabunyn419">新規別紙!$K$431</definedName>
    <definedName name="belugabunyn420">新規別紙!$K$432</definedName>
    <definedName name="belugabunyn421">新規別紙!$K$433</definedName>
    <definedName name="belugabunyn422">新規別紙!$K$434</definedName>
    <definedName name="belugabunyn423">新規別紙!$K$435</definedName>
    <definedName name="belugabunyn424">新規別紙!$K$436</definedName>
    <definedName name="belugabunyn425">新規別紙!$K$437</definedName>
    <definedName name="belugabunyn426">新規別紙!$K$438</definedName>
    <definedName name="belugabunyn427">新規別紙!$K$439</definedName>
    <definedName name="belugabunyn428">新規別紙!$K$440</definedName>
    <definedName name="belugabunyn429">新規別紙!$K$441</definedName>
    <definedName name="belugabunyn430">新規別紙!$K$442</definedName>
    <definedName name="belugabunyn431">新規別紙!$K$443</definedName>
    <definedName name="belugabunyn432">新規別紙!$K$444</definedName>
    <definedName name="belugabunyn433">新規別紙!$K$445</definedName>
    <definedName name="belugabunyn434">新規別紙!$K$446</definedName>
    <definedName name="belugabunyn435">新規別紙!$K$447</definedName>
    <definedName name="belugabunyn436">新規別紙!$K$448</definedName>
    <definedName name="belugabunyn437">新規別紙!$K$449</definedName>
    <definedName name="belugabunyn438">新規別紙!$K$450</definedName>
    <definedName name="belugabunyn439">新規別紙!$K$451</definedName>
    <definedName name="belugabunyn440">新規別紙!$K$452</definedName>
    <definedName name="belugabunyn441">新規別紙!$K$453</definedName>
    <definedName name="belugabunyn442">新規別紙!$K$454</definedName>
    <definedName name="belugabunyn443">新規別紙!$K$455</definedName>
    <definedName name="belugabunyn444">新規別紙!$K$456</definedName>
    <definedName name="belugabunyn445">新規別紙!$K$457</definedName>
    <definedName name="belugabunyn446">新規別紙!$K$458</definedName>
    <definedName name="belugabunyn447">新規別紙!$K$459</definedName>
    <definedName name="belugabunyn448">新規別紙!$K$460</definedName>
    <definedName name="belugabunyn449">新規別紙!$K$461</definedName>
    <definedName name="belugabunyn450">新規別紙!$K$462</definedName>
    <definedName name="belugabunyn451">新規別紙!$K$463</definedName>
    <definedName name="belugabunyn452">新規別紙!$K$464</definedName>
    <definedName name="belugabunyn453">新規別紙!$K$465</definedName>
    <definedName name="belugabunyn454">新規別紙!$K$466</definedName>
    <definedName name="belugabunyn455">新規別紙!$K$467</definedName>
    <definedName name="belugabunyn456">新規別紙!$K$468</definedName>
    <definedName name="belugabunyn457">新規別紙!$K$469</definedName>
    <definedName name="belugabunyn458">新規別紙!$K$470</definedName>
    <definedName name="belugabunyn459">新規別紙!$K$471</definedName>
    <definedName name="belugabunyn460">新規別紙!$K$472</definedName>
    <definedName name="belugabunyn461">新規別紙!$K$473</definedName>
    <definedName name="belugabunyn462">新規別紙!$K$474</definedName>
    <definedName name="belugabunyn463">新規別紙!$K$475</definedName>
    <definedName name="belugabunyn464">新規別紙!$K$476</definedName>
    <definedName name="belugabunyn465">新規別紙!$K$477</definedName>
    <definedName name="belugabunyn466">新規別紙!$K$478</definedName>
    <definedName name="belugabunyn467">新規別紙!$K$479</definedName>
    <definedName name="belugabunyn468">新規別紙!$K$480</definedName>
    <definedName name="belugabunyn469">新規別紙!$K$481</definedName>
    <definedName name="belugabunyn470">新規別紙!$K$482</definedName>
    <definedName name="belugabunyn471">新規別紙!$K$483</definedName>
    <definedName name="belugabunyn472">新規別紙!$K$484</definedName>
    <definedName name="belugabunyn473">新規別紙!$K$485</definedName>
    <definedName name="belugabunyn474">新規別紙!$K$486</definedName>
    <definedName name="belugabunyn475">新規別紙!$K$487</definedName>
    <definedName name="belugabunyn476">新規別紙!$K$488</definedName>
    <definedName name="belugabunyn477">新規別紙!$K$489</definedName>
    <definedName name="belugabunyn478">新規別紙!$K$490</definedName>
    <definedName name="belugabunyn479">新規別紙!$K$491</definedName>
    <definedName name="belugabunyn480">新規別紙!$K$492</definedName>
    <definedName name="belugabunyn481">新規別紙!$K$493</definedName>
    <definedName name="belugabunyn482">新規別紙!$K$494</definedName>
    <definedName name="belugabunyn483">新規別紙!$K$495</definedName>
    <definedName name="belugabunyn484">新規別紙!$K$496</definedName>
    <definedName name="belugabunyn485">新規別紙!$K$497</definedName>
    <definedName name="belugabunyn486">新規別紙!$K$498</definedName>
    <definedName name="belugabunyn487">新規別紙!$K$499</definedName>
    <definedName name="belugabunyn488">新規別紙!$K$500</definedName>
    <definedName name="belugabunyn489">新規別紙!$K$501</definedName>
    <definedName name="belugabunyn490">新規別紙!$K$502</definedName>
    <definedName name="belugabunyn491">新規別紙!$K$503</definedName>
    <definedName name="belugabunyn492">新規別紙!$K$504</definedName>
    <definedName name="belugabunyn493">新規別紙!$K$505</definedName>
    <definedName name="belugabunyn494">新規別紙!$K$506</definedName>
    <definedName name="belugabunyn495">新規別紙!$K$507</definedName>
    <definedName name="belugabunyn496">新規別紙!$K$508</definedName>
    <definedName name="belugabunyn497">新規別紙!$K$509</definedName>
    <definedName name="belugabunyn498">新規別紙!$K$510</definedName>
    <definedName name="belugabunyn499">新規別紙!$K$511</definedName>
    <definedName name="belugabunyn500">新規別紙!$K$512</definedName>
    <definedName name="billid001">新規別紙!$E$13</definedName>
    <definedName name="billid002">新規別紙!$E$14</definedName>
    <definedName name="billid003">新規別紙!$E$15</definedName>
    <definedName name="billid004">新規別紙!$E$16</definedName>
    <definedName name="billid005">新規別紙!$E$17</definedName>
    <definedName name="billid006">新規別紙!$E$18</definedName>
    <definedName name="billid007">新規別紙!$E$19</definedName>
    <definedName name="billid008">新規別紙!$E$20</definedName>
    <definedName name="billid009">新規別紙!$E$21</definedName>
    <definedName name="billid010">新規別紙!$E$22</definedName>
    <definedName name="billid011">新規別紙!$E$23</definedName>
    <definedName name="billid012">新規別紙!$E$24</definedName>
    <definedName name="billid013">新規別紙!$E$25</definedName>
    <definedName name="billid014">新規別紙!$E$26</definedName>
    <definedName name="billid015">新規別紙!$E$27</definedName>
    <definedName name="billid016">新規別紙!$E$28</definedName>
    <definedName name="billid017">新規別紙!$E$29</definedName>
    <definedName name="billid018">新規別紙!$E$30</definedName>
    <definedName name="billid019">新規別紙!$E$31</definedName>
    <definedName name="billid020">新規別紙!$E$32</definedName>
    <definedName name="billid021">新規別紙!$E$33</definedName>
    <definedName name="billid022">新規別紙!$E$34</definedName>
    <definedName name="billid023">新規別紙!$E$35</definedName>
    <definedName name="billid024">新規別紙!$E$36</definedName>
    <definedName name="billid025">新規別紙!$E$37</definedName>
    <definedName name="billid026">新規別紙!$E$38</definedName>
    <definedName name="billid027">新規別紙!$E$39</definedName>
    <definedName name="billid028">新規別紙!$E$40</definedName>
    <definedName name="billid029">新規別紙!$E$41</definedName>
    <definedName name="billid030">新規別紙!$E$42</definedName>
    <definedName name="billid031">新規別紙!$E$43</definedName>
    <definedName name="billid032">新規別紙!$E$44</definedName>
    <definedName name="billid033">新規別紙!$E$45</definedName>
    <definedName name="billid034">新規別紙!$E$46</definedName>
    <definedName name="billid035">新規別紙!$E$47</definedName>
    <definedName name="billid036">新規別紙!$E$48</definedName>
    <definedName name="billid037">新規別紙!$E$49</definedName>
    <definedName name="billid038">新規別紙!$E$50</definedName>
    <definedName name="billid039">新規別紙!$E$51</definedName>
    <definedName name="billid040">新規別紙!$E$52</definedName>
    <definedName name="billid041">新規別紙!$E$53</definedName>
    <definedName name="billid042">新規別紙!$E$54</definedName>
    <definedName name="billid043">新規別紙!$E$55</definedName>
    <definedName name="billid044">新規別紙!$E$56</definedName>
    <definedName name="billid045">新規別紙!$E$57</definedName>
    <definedName name="billid046">新規別紙!$E$58</definedName>
    <definedName name="billid047">新規別紙!$E$59</definedName>
    <definedName name="billid048">新規別紙!$E$60</definedName>
    <definedName name="billid049">新規別紙!$E$61</definedName>
    <definedName name="billid050">新規別紙!$E$62</definedName>
    <definedName name="billid051">新規別紙!$E$63</definedName>
    <definedName name="billid052">新規別紙!$E$64</definedName>
    <definedName name="billid053">新規別紙!$E$65</definedName>
    <definedName name="billid054">新規別紙!$E$66</definedName>
    <definedName name="billid055">新規別紙!$E$67</definedName>
    <definedName name="billid056">新規別紙!$E$68</definedName>
    <definedName name="billid057">新規別紙!$E$69</definedName>
    <definedName name="billid058">新規別紙!$E$70</definedName>
    <definedName name="billid059">新規別紙!$E$71</definedName>
    <definedName name="billid060">新規別紙!$E$72</definedName>
    <definedName name="billid061">新規別紙!$E$73</definedName>
    <definedName name="billid062">新規別紙!$E$74</definedName>
    <definedName name="billid063">新規別紙!$E$75</definedName>
    <definedName name="billid064">新規別紙!$E$76</definedName>
    <definedName name="billid065">新規別紙!$E$77</definedName>
    <definedName name="billid066">新規別紙!$E$78</definedName>
    <definedName name="billid067">新規別紙!$E$79</definedName>
    <definedName name="billid068">新規別紙!$E$80</definedName>
    <definedName name="billid069">新規別紙!$E$81</definedName>
    <definedName name="billid070">新規別紙!$E$82</definedName>
    <definedName name="billid071">新規別紙!$E$83</definedName>
    <definedName name="billid072">新規別紙!$E$84</definedName>
    <definedName name="billid073">新規別紙!$E$85</definedName>
    <definedName name="billid074">新規別紙!$E$86</definedName>
    <definedName name="billid075">新規別紙!$E$87</definedName>
    <definedName name="billid076">新規別紙!$E$88</definedName>
    <definedName name="billid077">新規別紙!$E$89</definedName>
    <definedName name="billid078">新規別紙!$E$90</definedName>
    <definedName name="billid079">新規別紙!$E$91</definedName>
    <definedName name="billid080">新規別紙!$E$92</definedName>
    <definedName name="billid081">新規別紙!$E$93</definedName>
    <definedName name="billid082">新規別紙!$E$94</definedName>
    <definedName name="billid083">新規別紙!$E$95</definedName>
    <definedName name="billid084">新規別紙!$E$96</definedName>
    <definedName name="billid085">新規別紙!$E$97</definedName>
    <definedName name="billid086">新規別紙!$E$98</definedName>
    <definedName name="billid087">新規別紙!$E$99</definedName>
    <definedName name="billid088">新規別紙!$E$100</definedName>
    <definedName name="billid089">新規別紙!$E$101</definedName>
    <definedName name="billid090">新規別紙!$E$102</definedName>
    <definedName name="billid091">新規別紙!$E$103</definedName>
    <definedName name="billid092">新規別紙!$E$104</definedName>
    <definedName name="billid093">新規別紙!$E$105</definedName>
    <definedName name="billid094">新規別紙!$E$106</definedName>
    <definedName name="billid095">新規別紙!$E$107</definedName>
    <definedName name="billid096">新規別紙!$E$108</definedName>
    <definedName name="billid097">新規別紙!$E$109</definedName>
    <definedName name="billid098">新規別紙!$E$110</definedName>
    <definedName name="billid099">新規別紙!$E$111</definedName>
    <definedName name="billid100">新規別紙!$E$112</definedName>
    <definedName name="billid101">新規別紙!$E$113</definedName>
    <definedName name="billid102">新規別紙!$E$114</definedName>
    <definedName name="billid103">新規別紙!$E$115</definedName>
    <definedName name="billid104">新規別紙!$E$116</definedName>
    <definedName name="billid105">新規別紙!$E$117</definedName>
    <definedName name="billid106">新規別紙!$E$118</definedName>
    <definedName name="billid107">新規別紙!$E$119</definedName>
    <definedName name="billid108">新規別紙!$E$120</definedName>
    <definedName name="billid109">新規別紙!$E$121</definedName>
    <definedName name="billid110">新規別紙!$E$122</definedName>
    <definedName name="billid111">新規別紙!$E$123</definedName>
    <definedName name="billid112">新規別紙!$E$124</definedName>
    <definedName name="billid113">新規別紙!$E$125</definedName>
    <definedName name="billid114">新規別紙!$E$126</definedName>
    <definedName name="billid115">新規別紙!$E$127</definedName>
    <definedName name="billid116">新規別紙!$E$128</definedName>
    <definedName name="billid117">新規別紙!$E$129</definedName>
    <definedName name="billid118">新規別紙!$E$130</definedName>
    <definedName name="billid119">新規別紙!$E$131</definedName>
    <definedName name="billid120">新規別紙!$E$132</definedName>
    <definedName name="billid121">新規別紙!$E$133</definedName>
    <definedName name="billid122">新規別紙!$E$134</definedName>
    <definedName name="billid123">新規別紙!$E$135</definedName>
    <definedName name="billid124">新規別紙!$E$136</definedName>
    <definedName name="billid125">新規別紙!$E$137</definedName>
    <definedName name="billid126">新規別紙!$E$138</definedName>
    <definedName name="billid127">新規別紙!$E$139</definedName>
    <definedName name="billid128">新規別紙!$E$140</definedName>
    <definedName name="billid129">新規別紙!$E$141</definedName>
    <definedName name="billid130">新規別紙!$E$142</definedName>
    <definedName name="billid131">新規別紙!$E$143</definedName>
    <definedName name="billid132">新規別紙!$E$144</definedName>
    <definedName name="billid133">新規別紙!$E$145</definedName>
    <definedName name="billid134">新規別紙!$E$146</definedName>
    <definedName name="billid135">新規別紙!$E$147</definedName>
    <definedName name="billid136">新規別紙!$E$148</definedName>
    <definedName name="billid137">新規別紙!$E$149</definedName>
    <definedName name="billid138">新規別紙!$E$150</definedName>
    <definedName name="billid139">新規別紙!$E$151</definedName>
    <definedName name="billid140">新規別紙!$E$152</definedName>
    <definedName name="billid141">新規別紙!$E$153</definedName>
    <definedName name="billid142">新規別紙!$E$154</definedName>
    <definedName name="billid143">新規別紙!$E$155</definedName>
    <definedName name="billid144">新規別紙!$E$156</definedName>
    <definedName name="billid145">新規別紙!$E$157</definedName>
    <definedName name="billid146">新規別紙!$E$158</definedName>
    <definedName name="billid147">新規別紙!$E$159</definedName>
    <definedName name="billid148">新規別紙!$E$160</definedName>
    <definedName name="billid149">新規別紙!$E$161</definedName>
    <definedName name="billid150">新規別紙!$E$162</definedName>
    <definedName name="billid151">新規別紙!$E$163</definedName>
    <definedName name="billid152">新規別紙!$E$164</definedName>
    <definedName name="billid153">新規別紙!$E$165</definedName>
    <definedName name="billid154">新規別紙!$E$166</definedName>
    <definedName name="billid155">新規別紙!$E$167</definedName>
    <definedName name="billid156">新規別紙!$E$168</definedName>
    <definedName name="billid157">新規別紙!$E$169</definedName>
    <definedName name="billid158">新規別紙!$E$170</definedName>
    <definedName name="billid159">新規別紙!$E$171</definedName>
    <definedName name="billid160">新規別紙!$E$172</definedName>
    <definedName name="billid161">新規別紙!$E$173</definedName>
    <definedName name="billid162">新規別紙!$E$174</definedName>
    <definedName name="billid163">新規別紙!$E$175</definedName>
    <definedName name="billid164">新規別紙!$E$176</definedName>
    <definedName name="billid165">新規別紙!$E$177</definedName>
    <definedName name="billid166">新規別紙!$E$178</definedName>
    <definedName name="billid167">新規別紙!$E$179</definedName>
    <definedName name="billid168">新規別紙!$E$180</definedName>
    <definedName name="billid169">新規別紙!$E$181</definedName>
    <definedName name="billid170">新規別紙!$E$182</definedName>
    <definedName name="billid171">新規別紙!$E$183</definedName>
    <definedName name="billid172">新規別紙!$E$184</definedName>
    <definedName name="billid173">新規別紙!$E$185</definedName>
    <definedName name="billid174">新規別紙!$E$186</definedName>
    <definedName name="billid175">新規別紙!$E$187</definedName>
    <definedName name="billid176">新規別紙!$E$188</definedName>
    <definedName name="billid177">新規別紙!$E$189</definedName>
    <definedName name="billid178">新規別紙!$E$190</definedName>
    <definedName name="billid179">新規別紙!$E$191</definedName>
    <definedName name="billid180">新規別紙!$E$192</definedName>
    <definedName name="billid181">新規別紙!$E$193</definedName>
    <definedName name="billid182">新規別紙!$E$194</definedName>
    <definedName name="billid183">新規別紙!$E$195</definedName>
    <definedName name="billid184">新規別紙!$E$196</definedName>
    <definedName name="billid185">新規別紙!$E$197</definedName>
    <definedName name="billid186">新規別紙!$E$198</definedName>
    <definedName name="billid187">新規別紙!$E$199</definedName>
    <definedName name="billid188">新規別紙!$E$200</definedName>
    <definedName name="billid189">新規別紙!$E$201</definedName>
    <definedName name="billid190">新規別紙!$E$202</definedName>
    <definedName name="billid191">新規別紙!$E$203</definedName>
    <definedName name="billid192">新規別紙!$E$204</definedName>
    <definedName name="billid193">新規別紙!$E$205</definedName>
    <definedName name="billid194">新規別紙!$E$206</definedName>
    <definedName name="billid195">新規別紙!$E$207</definedName>
    <definedName name="billid196">新規別紙!$E$208</definedName>
    <definedName name="billid197">新規別紙!$E$209</definedName>
    <definedName name="billid198">新規別紙!$E$210</definedName>
    <definedName name="billid199">新規別紙!$E$211</definedName>
    <definedName name="billid200">新規別紙!$E$212</definedName>
    <definedName name="billid201">新規別紙!$E$213</definedName>
    <definedName name="billid202">新規別紙!$E$214</definedName>
    <definedName name="billid203">新規別紙!$E$215</definedName>
    <definedName name="billid204">新規別紙!$E$216</definedName>
    <definedName name="billid205">新規別紙!$E$217</definedName>
    <definedName name="billid206">新規別紙!$E$218</definedName>
    <definedName name="billid207">新規別紙!$E$219</definedName>
    <definedName name="billid208">新規別紙!$E$220</definedName>
    <definedName name="billid209">新規別紙!$E$221</definedName>
    <definedName name="billid210">新規別紙!$E$222</definedName>
    <definedName name="billid211">新規別紙!$E$223</definedName>
    <definedName name="billid212">新規別紙!$E$224</definedName>
    <definedName name="billid213">新規別紙!$E$225</definedName>
    <definedName name="billid214">新規別紙!$E$226</definedName>
    <definedName name="billid215">新規別紙!$E$227</definedName>
    <definedName name="billid216">新規別紙!$E$228</definedName>
    <definedName name="billid217">新規別紙!$E$229</definedName>
    <definedName name="billid218">新規別紙!$E$230</definedName>
    <definedName name="billid219">新規別紙!$E$231</definedName>
    <definedName name="billid220">新規別紙!$E$232</definedName>
    <definedName name="billid221">新規別紙!$E$233</definedName>
    <definedName name="billid222">新規別紙!$E$234</definedName>
    <definedName name="billid223">新規別紙!$E$235</definedName>
    <definedName name="billid224">新規別紙!$E$236</definedName>
    <definedName name="billid225">新規別紙!$E$237</definedName>
    <definedName name="billid226">新規別紙!$E$238</definedName>
    <definedName name="billid227">新規別紙!$E$239</definedName>
    <definedName name="billid228">新規別紙!$E$240</definedName>
    <definedName name="billid229">新規別紙!$E$241</definedName>
    <definedName name="billid230">新規別紙!$E$242</definedName>
    <definedName name="billid231">新規別紙!$E$243</definedName>
    <definedName name="billid232">新規別紙!$E$244</definedName>
    <definedName name="billid233">新規別紙!$E$245</definedName>
    <definedName name="billid234">新規別紙!$E$246</definedName>
    <definedName name="billid235">新規別紙!$E$247</definedName>
    <definedName name="billid236">新規別紙!$E$248</definedName>
    <definedName name="billid237">新規別紙!$E$249</definedName>
    <definedName name="billid238">新規別紙!$E$250</definedName>
    <definedName name="billid239">新規別紙!$E$251</definedName>
    <definedName name="billid240">新規別紙!$E$252</definedName>
    <definedName name="billid241">新規別紙!$E$253</definedName>
    <definedName name="billid242">新規別紙!$E$254</definedName>
    <definedName name="billid243">新規別紙!$E$255</definedName>
    <definedName name="billid244">新規別紙!$E$256</definedName>
    <definedName name="billid245">新規別紙!$E$257</definedName>
    <definedName name="billid246">新規別紙!$E$258</definedName>
    <definedName name="billid247">新規別紙!$E$259</definedName>
    <definedName name="billid248">新規別紙!$E$260</definedName>
    <definedName name="billid249">新規別紙!$E$261</definedName>
    <definedName name="billid250">新規別紙!$E$262</definedName>
    <definedName name="billid251">新規別紙!$E$263</definedName>
    <definedName name="billid252">新規別紙!$E$264</definedName>
    <definedName name="billid253">新規別紙!$E$265</definedName>
    <definedName name="billid254">新規別紙!$E$266</definedName>
    <definedName name="billid255">新規別紙!$E$267</definedName>
    <definedName name="billid256">新規別紙!$E$268</definedName>
    <definedName name="billid257">新規別紙!$E$269</definedName>
    <definedName name="billid258">新規別紙!$E$270</definedName>
    <definedName name="billid259">新規別紙!$E$271</definedName>
    <definedName name="billid260">新規別紙!$E$272</definedName>
    <definedName name="billid261">新規別紙!$E$273</definedName>
    <definedName name="billid262">新規別紙!$E$274</definedName>
    <definedName name="billid263">新規別紙!$E$275</definedName>
    <definedName name="billid264">新規別紙!$E$276</definedName>
    <definedName name="billid265">新規別紙!$E$277</definedName>
    <definedName name="billid266">新規別紙!$E$278</definedName>
    <definedName name="billid267">新規別紙!$E$279</definedName>
    <definedName name="billid268">新規別紙!$E$280</definedName>
    <definedName name="billid269">新規別紙!$E$281</definedName>
    <definedName name="billid270">新規別紙!$E$282</definedName>
    <definedName name="billid271">新規別紙!$E$283</definedName>
    <definedName name="billid272">新規別紙!$E$284</definedName>
    <definedName name="billid273">新規別紙!$E$285</definedName>
    <definedName name="billid274">新規別紙!$E$286</definedName>
    <definedName name="billid275">新規別紙!$E$287</definedName>
    <definedName name="billid276">新規別紙!$E$288</definedName>
    <definedName name="billid277">新規別紙!$E$289</definedName>
    <definedName name="billid278">新規別紙!$E$290</definedName>
    <definedName name="billid279">新規別紙!$E$291</definedName>
    <definedName name="billid280">新規別紙!$E$292</definedName>
    <definedName name="billid281">新規別紙!$E$293</definedName>
    <definedName name="billid282">新規別紙!$E$294</definedName>
    <definedName name="billid283">新規別紙!$E$295</definedName>
    <definedName name="billid284">新規別紙!$E$296</definedName>
    <definedName name="billid285">新規別紙!$E$297</definedName>
    <definedName name="billid286">新規別紙!$E$298</definedName>
    <definedName name="billid287">新規別紙!$E$299</definedName>
    <definedName name="billid288">新規別紙!$E$300</definedName>
    <definedName name="billid289">新規別紙!$E$301</definedName>
    <definedName name="billid290">新規別紙!$E$302</definedName>
    <definedName name="billid291">新規別紙!$E$303</definedName>
    <definedName name="billid292">新規別紙!$E$304</definedName>
    <definedName name="billid293">新規別紙!$E$305</definedName>
    <definedName name="billid294">新規別紙!$E$306</definedName>
    <definedName name="billid295">新規別紙!$E$307</definedName>
    <definedName name="billid296">新規別紙!$E$308</definedName>
    <definedName name="billid297">新規別紙!$E$309</definedName>
    <definedName name="billid298">新規別紙!$E$310</definedName>
    <definedName name="billid299">新規別紙!$E$311</definedName>
    <definedName name="billid300">新規別紙!$E$312</definedName>
    <definedName name="billid301">新規別紙!$E$313</definedName>
    <definedName name="billid302">新規別紙!$E$314</definedName>
    <definedName name="billid303">新規別紙!$E$315</definedName>
    <definedName name="billid304">新規別紙!$E$316</definedName>
    <definedName name="billid305">新規別紙!$E$317</definedName>
    <definedName name="billid306">新規別紙!$E$318</definedName>
    <definedName name="billid307">新規別紙!$E$319</definedName>
    <definedName name="billid308">新規別紙!$E$320</definedName>
    <definedName name="billid309">新規別紙!$E$321</definedName>
    <definedName name="billid310">新規別紙!$E$322</definedName>
    <definedName name="billid311">新規別紙!$E$323</definedName>
    <definedName name="billid312">新規別紙!$E$324</definedName>
    <definedName name="billid313">新規別紙!$E$325</definedName>
    <definedName name="billid314">新規別紙!$E$326</definedName>
    <definedName name="billid315">新規別紙!$E$327</definedName>
    <definedName name="billid316">新規別紙!$E$328</definedName>
    <definedName name="billid317">新規別紙!$E$329</definedName>
    <definedName name="billid318">新規別紙!$E$330</definedName>
    <definedName name="billid319">新規別紙!$E$331</definedName>
    <definedName name="billid320">新規別紙!$E$332</definedName>
    <definedName name="billid321">新規別紙!$E$333</definedName>
    <definedName name="billid322">新規別紙!$E$334</definedName>
    <definedName name="billid323">新規別紙!$E$335</definedName>
    <definedName name="billid324">新規別紙!$E$336</definedName>
    <definedName name="billid325">新規別紙!$E$337</definedName>
    <definedName name="billid326">新規別紙!$E$338</definedName>
    <definedName name="billid327">新規別紙!$E$339</definedName>
    <definedName name="billid328">新規別紙!$E$340</definedName>
    <definedName name="billid329">新規別紙!$E$341</definedName>
    <definedName name="billid330">新規別紙!$E$342</definedName>
    <definedName name="billid331">新規別紙!$E$343</definedName>
    <definedName name="billid332">新規別紙!$E$344</definedName>
    <definedName name="billid333">新規別紙!$E$345</definedName>
    <definedName name="billid334">新規別紙!$E$346</definedName>
    <definedName name="billid335">新規別紙!$E$347</definedName>
    <definedName name="billid336">新規別紙!$E$348</definedName>
    <definedName name="billid337">新規別紙!$E$349</definedName>
    <definedName name="billid338">新規別紙!$E$350</definedName>
    <definedName name="billid339">新規別紙!$E$351</definedName>
    <definedName name="billid340">新規別紙!$E$352</definedName>
    <definedName name="billid341">新規別紙!$E$353</definedName>
    <definedName name="billid342">新規別紙!$E$354</definedName>
    <definedName name="billid343">新規別紙!$E$355</definedName>
    <definedName name="billid344">新規別紙!$E$356</definedName>
    <definedName name="billid345">新規別紙!$E$357</definedName>
    <definedName name="billid346">新規別紙!$E$358</definedName>
    <definedName name="billid347">新規別紙!$E$359</definedName>
    <definedName name="billid348">新規別紙!$E$360</definedName>
    <definedName name="billid349">新規別紙!$E$361</definedName>
    <definedName name="billid350">新規別紙!$E$362</definedName>
    <definedName name="billid351">新規別紙!$E$363</definedName>
    <definedName name="billid352">新規別紙!$E$364</definedName>
    <definedName name="billid353">新規別紙!$E$365</definedName>
    <definedName name="billid354">新規別紙!$E$366</definedName>
    <definedName name="billid355">新規別紙!$E$367</definedName>
    <definedName name="billid356">新規別紙!$E$368</definedName>
    <definedName name="billid357">新規別紙!$E$369</definedName>
    <definedName name="billid358">新規別紙!$E$370</definedName>
    <definedName name="billid359">新規別紙!$E$371</definedName>
    <definedName name="billid360">新規別紙!$E$372</definedName>
    <definedName name="billid361">新規別紙!$E$373</definedName>
    <definedName name="billid362">新規別紙!$E$374</definedName>
    <definedName name="billid363">新規別紙!$E$375</definedName>
    <definedName name="billid364">新規別紙!$E$376</definedName>
    <definedName name="billid365">新規別紙!$E$377</definedName>
    <definedName name="billid366">新規別紙!$E$378</definedName>
    <definedName name="billid367">新規別紙!$E$379</definedName>
    <definedName name="billid368">新規別紙!$E$380</definedName>
    <definedName name="billid369">新規別紙!$E$381</definedName>
    <definedName name="billid370">新規別紙!$E$382</definedName>
    <definedName name="billid371">新規別紙!$E$383</definedName>
    <definedName name="billid372">新規別紙!$E$384</definedName>
    <definedName name="billid373">新規別紙!$E$385</definedName>
    <definedName name="billid374">新規別紙!$E$386</definedName>
    <definedName name="billid375">新規別紙!$E$387</definedName>
    <definedName name="billid376">新規別紙!$E$388</definedName>
    <definedName name="billid377">新規別紙!$E$389</definedName>
    <definedName name="billid378">新規別紙!$E$390</definedName>
    <definedName name="billid379">新規別紙!$E$391</definedName>
    <definedName name="billid380">新規別紙!$E$392</definedName>
    <definedName name="billid381">新規別紙!$E$393</definedName>
    <definedName name="billid382">新規別紙!$E$394</definedName>
    <definedName name="billid383">新規別紙!$E$395</definedName>
    <definedName name="billid384">新規別紙!$E$396</definedName>
    <definedName name="billid385">新規別紙!$E$397</definedName>
    <definedName name="billid386">新規別紙!$E$398</definedName>
    <definedName name="billid387">新規別紙!$E$399</definedName>
    <definedName name="billid388">新規別紙!$E$400</definedName>
    <definedName name="billid389">新規別紙!$E$401</definedName>
    <definedName name="billid390">新規別紙!$E$402</definedName>
    <definedName name="billid391">新規別紙!$E$403</definedName>
    <definedName name="billid392">新規別紙!$E$404</definedName>
    <definedName name="billid393">新規別紙!$E$405</definedName>
    <definedName name="billid394">新規別紙!$E$406</definedName>
    <definedName name="billid395">新規別紙!$E$407</definedName>
    <definedName name="billid396">新規別紙!$E$408</definedName>
    <definedName name="billid397">新規別紙!$E$409</definedName>
    <definedName name="billid398">新規別紙!$E$410</definedName>
    <definedName name="billid399">新規別紙!$E$411</definedName>
    <definedName name="billid400">新規別紙!$E$412</definedName>
    <definedName name="billid401">新規別紙!$E$413</definedName>
    <definedName name="billid402">新規別紙!$E$414</definedName>
    <definedName name="billid403">新規別紙!$E$415</definedName>
    <definedName name="billid404">新規別紙!$E$416</definedName>
    <definedName name="billid405">新規別紙!$E$417</definedName>
    <definedName name="billid406">新規別紙!$E$418</definedName>
    <definedName name="billid407">新規別紙!$E$419</definedName>
    <definedName name="billid408">新規別紙!$E$420</definedName>
    <definedName name="billid409">新規別紙!$E$421</definedName>
    <definedName name="billid410">新規別紙!$E$422</definedName>
    <definedName name="billid411">新規別紙!$E$423</definedName>
    <definedName name="billid412">新規別紙!$E$424</definedName>
    <definedName name="billid413">新規別紙!$E$425</definedName>
    <definedName name="billid414">新規別紙!$E$426</definedName>
    <definedName name="billid415">新規別紙!$E$427</definedName>
    <definedName name="billid416">新規別紙!$E$428</definedName>
    <definedName name="billid417">新規別紙!$E$429</definedName>
    <definedName name="billid418">新規別紙!$E$430</definedName>
    <definedName name="billid419">新規別紙!$E$431</definedName>
    <definedName name="billid420">新規別紙!$E$432</definedName>
    <definedName name="billid421">新規別紙!$E$433</definedName>
    <definedName name="billid422">新規別紙!$E$434</definedName>
    <definedName name="billid423">新規別紙!$E$435</definedName>
    <definedName name="billid424">新規別紙!$E$436</definedName>
    <definedName name="billid425">新規別紙!$E$437</definedName>
    <definedName name="billid426">新規別紙!$E$438</definedName>
    <definedName name="billid427">新規別紙!$E$439</definedName>
    <definedName name="billid428">新規別紙!$E$440</definedName>
    <definedName name="billid429">新規別紙!$E$441</definedName>
    <definedName name="billid430">新規別紙!$E$442</definedName>
    <definedName name="billid431">新規別紙!$E$443</definedName>
    <definedName name="billid432">新規別紙!$E$444</definedName>
    <definedName name="billid433">新規別紙!$E$445</definedName>
    <definedName name="billid434">新規別紙!$E$446</definedName>
    <definedName name="billid435">新規別紙!$E$447</definedName>
    <definedName name="billid436">新規別紙!$E$448</definedName>
    <definedName name="billid437">新規別紙!$E$449</definedName>
    <definedName name="billid438">新規別紙!$E$450</definedName>
    <definedName name="billid439">新規別紙!$E$451</definedName>
    <definedName name="billid440">新規別紙!$E$452</definedName>
    <definedName name="billid441">新規別紙!$E$453</definedName>
    <definedName name="billid442">新規別紙!$E$454</definedName>
    <definedName name="billid443">新規別紙!$E$455</definedName>
    <definedName name="billid444">新規別紙!$E$456</definedName>
    <definedName name="billid445">新規別紙!$E$457</definedName>
    <definedName name="billid446">新規別紙!$E$458</definedName>
    <definedName name="billid447">新規別紙!$E$459</definedName>
    <definedName name="billid448">新規別紙!$E$460</definedName>
    <definedName name="billid449">新規別紙!$E$461</definedName>
    <definedName name="billid450">新規別紙!$E$462</definedName>
    <definedName name="billid451">新規別紙!$E$463</definedName>
    <definedName name="billid452">新規別紙!$E$464</definedName>
    <definedName name="billid453">新規別紙!$E$465</definedName>
    <definedName name="billid454">新規別紙!$E$466</definedName>
    <definedName name="billid455">新規別紙!$E$467</definedName>
    <definedName name="billid456">新規別紙!$E$468</definedName>
    <definedName name="billid457">新規別紙!$E$469</definedName>
    <definedName name="billid458">新規別紙!$E$470</definedName>
    <definedName name="billid459">新規別紙!$E$471</definedName>
    <definedName name="billid460">新規別紙!$E$472</definedName>
    <definedName name="billid461">新規別紙!$E$473</definedName>
    <definedName name="billid462">新規別紙!$E$474</definedName>
    <definedName name="billid463">新規別紙!$E$475</definedName>
    <definedName name="billid464">新規別紙!$E$476</definedName>
    <definedName name="billid465">新規別紙!$E$477</definedName>
    <definedName name="billid466">新規別紙!$E$478</definedName>
    <definedName name="billid467">新規別紙!$E$479</definedName>
    <definedName name="billid468">新規別紙!$E$480</definedName>
    <definedName name="billid469">新規別紙!$E$481</definedName>
    <definedName name="billid470">新規別紙!$E$482</definedName>
    <definedName name="billid471">新規別紙!$E$483</definedName>
    <definedName name="billid472">新規別紙!$E$484</definedName>
    <definedName name="billid473">新規別紙!$E$485</definedName>
    <definedName name="billid474">新規別紙!$E$486</definedName>
    <definedName name="billid475">新規別紙!$E$487</definedName>
    <definedName name="billid476">新規別紙!$E$488</definedName>
    <definedName name="billid477">新規別紙!$E$489</definedName>
    <definedName name="billid478">新規別紙!$E$490</definedName>
    <definedName name="billid479">新規別紙!$E$491</definedName>
    <definedName name="billid480">新規別紙!$E$492</definedName>
    <definedName name="billid481">新規別紙!$E$493</definedName>
    <definedName name="billid482">新規別紙!$E$494</definedName>
    <definedName name="billid483">新規別紙!$E$495</definedName>
    <definedName name="billid484">新規別紙!$E$496</definedName>
    <definedName name="billid485">新規別紙!$E$497</definedName>
    <definedName name="billid486">新規別紙!$E$498</definedName>
    <definedName name="billid487">新規別紙!$E$499</definedName>
    <definedName name="billid488">新規別紙!$E$500</definedName>
    <definedName name="billid489">新規別紙!$E$501</definedName>
    <definedName name="billid490">新規別紙!$E$502</definedName>
    <definedName name="billid491">新規別紙!$E$503</definedName>
    <definedName name="billid492">新規別紙!$E$504</definedName>
    <definedName name="billid493">新規別紙!$E$505</definedName>
    <definedName name="billid494">新規別紙!$E$506</definedName>
    <definedName name="billid495">新規別紙!$E$507</definedName>
    <definedName name="billid496">新規別紙!$E$508</definedName>
    <definedName name="billid497">新規別紙!$E$509</definedName>
    <definedName name="billid498">新規別紙!$E$510</definedName>
    <definedName name="billid499">新規別紙!$E$511</definedName>
    <definedName name="billid500">新規別紙!$E$512</definedName>
    <definedName name="billingStationAuthKey">新規お申込書!$K$26</definedName>
    <definedName name="billingStationCustomerMailAddress">新規お申込書!$K$25</definedName>
    <definedName name="billingStationCustomerNumber">新規お申込書!$M$39</definedName>
    <definedName name="billingStationDeptName">新規お申込書!$K$20</definedName>
    <definedName name="billingStationDeptNameKana">新規お申込書!$K$19</definedName>
    <definedName name="billingStationPerson">新規お申込書!$K$22</definedName>
    <definedName name="billingStationPersonKana">新規お申込書!$K$21</definedName>
    <definedName name="billingStationPhoneNumber">新規お申込書!$K$18</definedName>
    <definedName name="billingStationUseDataByNumber">新規お申込書!$K$27</definedName>
    <definedName name="comment">新規お申込書!$M$41</definedName>
    <definedName name="contractCustomerAddress">新規お申込書!$K$16</definedName>
    <definedName name="contractCustomerAddress2">新規お申込書!$K$17</definedName>
    <definedName name="contractCustomerAddressKana">新規お申込書!$K$15</definedName>
    <definedName name="contractCustomerName">新規お申込書!$K$13</definedName>
    <definedName name="contractCustomerNameKana">新規お申込書!$K$12</definedName>
    <definedName name="contractCustomerPostalNumber">新規お申込書!$K$14</definedName>
    <definedName name="formVersion">新規お申込書!$AI$5</definedName>
    <definedName name="keiyakuid001">新規別紙!$G$13</definedName>
    <definedName name="keiyakuid002">新規別紙!$G$14</definedName>
    <definedName name="keiyakuid003">新規別紙!$G$15</definedName>
    <definedName name="keiyakuid004">新規別紙!$G$16</definedName>
    <definedName name="keiyakuid005">新規別紙!$G$17</definedName>
    <definedName name="keiyakuid006">新規別紙!$G$18</definedName>
    <definedName name="keiyakuid007">新規別紙!$G$19</definedName>
    <definedName name="keiyakuid008">新規別紙!$G$20</definedName>
    <definedName name="keiyakuid009">新規別紙!$G$21</definedName>
    <definedName name="keiyakuid010">新規別紙!$G$22</definedName>
    <definedName name="keiyakuid011">新規別紙!$G$23</definedName>
    <definedName name="keiyakuid012">新規別紙!$G$24</definedName>
    <definedName name="keiyakuid013">新規別紙!$G$25</definedName>
    <definedName name="keiyakuid014">新規別紙!$G$26</definedName>
    <definedName name="keiyakuid015">新規別紙!$G$27</definedName>
    <definedName name="keiyakuid016">新規別紙!$G$28</definedName>
    <definedName name="keiyakuid017">新規別紙!$G$29</definedName>
    <definedName name="keiyakuid018">新規別紙!$G$30</definedName>
    <definedName name="keiyakuid019">新規別紙!$G$31</definedName>
    <definedName name="keiyakuid020">新規別紙!$G$32</definedName>
    <definedName name="keiyakuid021">新規別紙!$G$33</definedName>
    <definedName name="keiyakuid022">新規別紙!$G$34</definedName>
    <definedName name="keiyakuid023">新規別紙!$G$35</definedName>
    <definedName name="keiyakuid024">新規別紙!$G$36</definedName>
    <definedName name="keiyakuid025">新規別紙!$G$37</definedName>
    <definedName name="keiyakuid026">新規別紙!$G$38</definedName>
    <definedName name="keiyakuid027">新規別紙!$G$39</definedName>
    <definedName name="keiyakuid028">新規別紙!$G$40</definedName>
    <definedName name="keiyakuid029">新規別紙!$G$41</definedName>
    <definedName name="keiyakuid030">新規別紙!$G$42</definedName>
    <definedName name="keiyakuid031">新規別紙!$G$43</definedName>
    <definedName name="keiyakuid032">新規別紙!$G$44</definedName>
    <definedName name="keiyakuid033">新規別紙!$G$45</definedName>
    <definedName name="keiyakuid034">新規別紙!$G$46</definedName>
    <definedName name="keiyakuid035">新規別紙!$G$47</definedName>
    <definedName name="keiyakuid036">新規別紙!$G$48</definedName>
    <definedName name="keiyakuid037">新規別紙!$G$49</definedName>
    <definedName name="keiyakuid038">新規別紙!$G$50</definedName>
    <definedName name="keiyakuid039">新規別紙!$G$51</definedName>
    <definedName name="keiyakuid040">新規別紙!$G$52</definedName>
    <definedName name="keiyakuid041">新規別紙!$G$53</definedName>
    <definedName name="keiyakuid042">新規別紙!$G$54</definedName>
    <definedName name="keiyakuid043">新規別紙!$G$55</definedName>
    <definedName name="keiyakuid044">新規別紙!$G$56</definedName>
    <definedName name="keiyakuid045">新規別紙!$G$57</definedName>
    <definedName name="keiyakuid046">新規別紙!$G$58</definedName>
    <definedName name="keiyakuid047">新規別紙!$G$59</definedName>
    <definedName name="keiyakuid048">新規別紙!$G$60</definedName>
    <definedName name="keiyakuid049">新規別紙!$G$61</definedName>
    <definedName name="keiyakuid050">新規別紙!$G$62</definedName>
    <definedName name="keiyakuid051">新規別紙!$G$63</definedName>
    <definedName name="keiyakuid052">新規別紙!$G$64</definedName>
    <definedName name="keiyakuid053">新規別紙!$G$65</definedName>
    <definedName name="keiyakuid054">新規別紙!$G$66</definedName>
    <definedName name="keiyakuid055">新規別紙!$G$67</definedName>
    <definedName name="keiyakuid056">新規別紙!$G$68</definedName>
    <definedName name="keiyakuid057">新規別紙!$G$69</definedName>
    <definedName name="keiyakuid058">新規別紙!$G$70</definedName>
    <definedName name="keiyakuid059">新規別紙!$G$71</definedName>
    <definedName name="keiyakuid060">新規別紙!$G$72</definedName>
    <definedName name="keiyakuid061">新規別紙!$G$73</definedName>
    <definedName name="keiyakuid062">新規別紙!$G$74</definedName>
    <definedName name="keiyakuid063">新規別紙!$G$75</definedName>
    <definedName name="keiyakuid064">新規別紙!$G$76</definedName>
    <definedName name="keiyakuid065">新規別紙!$G$77</definedName>
    <definedName name="keiyakuid066">新規別紙!$G$78</definedName>
    <definedName name="keiyakuid067">新規別紙!$G$79</definedName>
    <definedName name="keiyakuid068">新規別紙!$G$80</definedName>
    <definedName name="keiyakuid069">新規別紙!$G$81</definedName>
    <definedName name="keiyakuid070">新規別紙!$G$82</definedName>
    <definedName name="keiyakuid071">新規別紙!$G$83</definedName>
    <definedName name="keiyakuid072">新規別紙!$G$84</definedName>
    <definedName name="keiyakuid073">新規別紙!$G$85</definedName>
    <definedName name="keiyakuid074">新規別紙!$G$86</definedName>
    <definedName name="keiyakuid075">新規別紙!$G$87</definedName>
    <definedName name="keiyakuid076">新規別紙!$G$88</definedName>
    <definedName name="keiyakuid077">新規別紙!$G$89</definedName>
    <definedName name="keiyakuid078">新規別紙!$G$90</definedName>
    <definedName name="keiyakuid079">新規別紙!$G$91</definedName>
    <definedName name="keiyakuid080">新規別紙!$G$92</definedName>
    <definedName name="keiyakuid081">新規別紙!$G$93</definedName>
    <definedName name="keiyakuid082">新規別紙!$G$94</definedName>
    <definedName name="keiyakuid083">新規別紙!$G$95</definedName>
    <definedName name="keiyakuid084">新規別紙!$G$96</definedName>
    <definedName name="keiyakuid085">新規別紙!$G$97</definedName>
    <definedName name="keiyakuid086">新規別紙!$G$98</definedName>
    <definedName name="keiyakuid087">新規別紙!$G$99</definedName>
    <definedName name="keiyakuid088">新規別紙!$G$100</definedName>
    <definedName name="keiyakuid089">新規別紙!$G$101</definedName>
    <definedName name="keiyakuid090">新規別紙!$G$102</definedName>
    <definedName name="keiyakuid091">新規別紙!$G$103</definedName>
    <definedName name="keiyakuid092">新規別紙!$G$104</definedName>
    <definedName name="keiyakuid093">新規別紙!$G$105</definedName>
    <definedName name="keiyakuid094">新規別紙!$G$106</definedName>
    <definedName name="keiyakuid095">新規別紙!$G$107</definedName>
    <definedName name="keiyakuid096">新規別紙!$G$108</definedName>
    <definedName name="keiyakuid097">新規別紙!$G$109</definedName>
    <definedName name="keiyakuid098">新規別紙!$G$110</definedName>
    <definedName name="keiyakuid099">新規別紙!$G$111</definedName>
    <definedName name="keiyakuid100">新規別紙!$G$112</definedName>
    <definedName name="keiyakuid101">新規別紙!$G$113</definedName>
    <definedName name="keiyakuid102">新規別紙!$G$114</definedName>
    <definedName name="keiyakuid103">新規別紙!$G$115</definedName>
    <definedName name="keiyakuid104">新規別紙!$G$116</definedName>
    <definedName name="keiyakuid105">新規別紙!$G$117</definedName>
    <definedName name="keiyakuid106">新規別紙!$G$118</definedName>
    <definedName name="keiyakuid107">新規別紙!$G$119</definedName>
    <definedName name="keiyakuid108">新規別紙!$G$120</definedName>
    <definedName name="keiyakuid109">新規別紙!$G$121</definedName>
    <definedName name="keiyakuid110">新規別紙!$G$122</definedName>
    <definedName name="keiyakuid111">新規別紙!$G$123</definedName>
    <definedName name="keiyakuid112">新規別紙!$G$124</definedName>
    <definedName name="keiyakuid113">新規別紙!$G$125</definedName>
    <definedName name="keiyakuid114">新規別紙!$G$126</definedName>
    <definedName name="keiyakuid115">新規別紙!$G$127</definedName>
    <definedName name="keiyakuid116">新規別紙!$G$128</definedName>
    <definedName name="keiyakuid117">新規別紙!$G$129</definedName>
    <definedName name="keiyakuid118">新規別紙!$G$130</definedName>
    <definedName name="keiyakuid119">新規別紙!$G$131</definedName>
    <definedName name="keiyakuid120">新規別紙!$G$132</definedName>
    <definedName name="keiyakuid121">新規別紙!$G$133</definedName>
    <definedName name="keiyakuid122">新規別紙!$G$134</definedName>
    <definedName name="keiyakuid123">新規別紙!$G$135</definedName>
    <definedName name="keiyakuid124">新規別紙!$G$136</definedName>
    <definedName name="keiyakuid125">新規別紙!$G$137</definedName>
    <definedName name="keiyakuid126">新規別紙!$G$138</definedName>
    <definedName name="keiyakuid127">新規別紙!$G$139</definedName>
    <definedName name="keiyakuid128">新規別紙!$G$140</definedName>
    <definedName name="keiyakuid129">新規別紙!$G$141</definedName>
    <definedName name="keiyakuid130">新規別紙!$G$142</definedName>
    <definedName name="keiyakuid131">新規別紙!$G$143</definedName>
    <definedName name="keiyakuid132">新規別紙!$G$144</definedName>
    <definedName name="keiyakuid133">新規別紙!$G$145</definedName>
    <definedName name="keiyakuid134">新規別紙!$G$146</definedName>
    <definedName name="keiyakuid135">新規別紙!$G$147</definedName>
    <definedName name="keiyakuid136">新規別紙!$G$148</definedName>
    <definedName name="keiyakuid137">新規別紙!$G$149</definedName>
    <definedName name="keiyakuid138">新規別紙!$G$150</definedName>
    <definedName name="keiyakuid139">新規別紙!$G$151</definedName>
    <definedName name="keiyakuid140">新規別紙!$G$152</definedName>
    <definedName name="keiyakuid141">新規別紙!$G$153</definedName>
    <definedName name="keiyakuid142">新規別紙!$G$154</definedName>
    <definedName name="keiyakuid143">新規別紙!$G$155</definedName>
    <definedName name="keiyakuid144">新規別紙!$G$156</definedName>
    <definedName name="keiyakuid145">新規別紙!$G$157</definedName>
    <definedName name="keiyakuid146">新規別紙!$G$158</definedName>
    <definedName name="keiyakuid147">新規別紙!$G$159</definedName>
    <definedName name="keiyakuid148">新規別紙!$G$160</definedName>
    <definedName name="keiyakuid149">新規別紙!$G$161</definedName>
    <definedName name="keiyakuid150">新規別紙!$G$162</definedName>
    <definedName name="keiyakuid151">新規別紙!$G$163</definedName>
    <definedName name="keiyakuid152">新規別紙!$G$164</definedName>
    <definedName name="keiyakuid153">新規別紙!$G$165</definedName>
    <definedName name="keiyakuid154">新規別紙!$G$166</definedName>
    <definedName name="keiyakuid155">新規別紙!$G$167</definedName>
    <definedName name="keiyakuid156">新規別紙!$G$168</definedName>
    <definedName name="keiyakuid157">新規別紙!$G$169</definedName>
    <definedName name="keiyakuid158">新規別紙!$G$170</definedName>
    <definedName name="keiyakuid159">新規別紙!$G$171</definedName>
    <definedName name="keiyakuid160">新規別紙!$G$172</definedName>
    <definedName name="keiyakuid161">新規別紙!$G$173</definedName>
    <definedName name="keiyakuid162">新規別紙!$G$174</definedName>
    <definedName name="keiyakuid163">新規別紙!$G$175</definedName>
    <definedName name="keiyakuid164">新規別紙!$G$176</definedName>
    <definedName name="keiyakuid165">新規別紙!$G$177</definedName>
    <definedName name="keiyakuid166">新規別紙!$G$178</definedName>
    <definedName name="keiyakuid167">新規別紙!$G$179</definedName>
    <definedName name="keiyakuid168">新規別紙!$G$180</definedName>
    <definedName name="keiyakuid169">新規別紙!$G$181</definedName>
    <definedName name="keiyakuid170">新規別紙!$G$182</definedName>
    <definedName name="keiyakuid171">新規別紙!$G$183</definedName>
    <definedName name="keiyakuid172">新規別紙!$G$184</definedName>
    <definedName name="keiyakuid173">新規別紙!$G$185</definedName>
    <definedName name="keiyakuid174">新規別紙!$G$186</definedName>
    <definedName name="keiyakuid175">新規別紙!$G$187</definedName>
    <definedName name="keiyakuid176">新規別紙!$G$188</definedName>
    <definedName name="keiyakuid177">新規別紙!$G$189</definedName>
    <definedName name="keiyakuid178">新規別紙!$G$190</definedName>
    <definedName name="keiyakuid179">新規別紙!$G$191</definedName>
    <definedName name="keiyakuid180">新規別紙!$G$192</definedName>
    <definedName name="keiyakuid181">新規別紙!$G$193</definedName>
    <definedName name="keiyakuid182">新規別紙!$G$194</definedName>
    <definedName name="keiyakuid183">新規別紙!$G$195</definedName>
    <definedName name="keiyakuid184">新規別紙!$G$196</definedName>
    <definedName name="keiyakuid185">新規別紙!$G$197</definedName>
    <definedName name="keiyakuid186">新規別紙!$G$198</definedName>
    <definedName name="keiyakuid187">新規別紙!$G$199</definedName>
    <definedName name="keiyakuid188">新規別紙!$G$200</definedName>
    <definedName name="keiyakuid189">新規別紙!$G$201</definedName>
    <definedName name="keiyakuid190">新規別紙!$G$202</definedName>
    <definedName name="keiyakuid191">新規別紙!$G$203</definedName>
    <definedName name="keiyakuid192">新規別紙!$G$204</definedName>
    <definedName name="keiyakuid193">新規別紙!$G$205</definedName>
    <definedName name="keiyakuid194">新規別紙!$G$206</definedName>
    <definedName name="keiyakuid195">新規別紙!$G$207</definedName>
    <definedName name="keiyakuid196">新規別紙!$G$208</definedName>
    <definedName name="keiyakuid197">新規別紙!$G$209</definedName>
    <definedName name="keiyakuid198">新規別紙!$G$210</definedName>
    <definedName name="keiyakuid199">新規別紙!$G$211</definedName>
    <definedName name="keiyakuid200">新規別紙!$G$212</definedName>
    <definedName name="keiyakuid201">新規別紙!$G$213</definedName>
    <definedName name="keiyakuid202">新規別紙!$G$214</definedName>
    <definedName name="keiyakuid203">新規別紙!$G$215</definedName>
    <definedName name="keiyakuid204">新規別紙!$G$216</definedName>
    <definedName name="keiyakuid205">新規別紙!$G$217</definedName>
    <definedName name="keiyakuid206">新規別紙!$G$218</definedName>
    <definedName name="keiyakuid207">新規別紙!$G$219</definedName>
    <definedName name="keiyakuid208">新規別紙!$G$220</definedName>
    <definedName name="keiyakuid209">新規別紙!$G$221</definedName>
    <definedName name="keiyakuid210">新規別紙!$G$222</definedName>
    <definedName name="keiyakuid211">新規別紙!$G$223</definedName>
    <definedName name="keiyakuid212">新規別紙!$G$224</definedName>
    <definedName name="keiyakuid213">新規別紙!$G$225</definedName>
    <definedName name="keiyakuid214">新規別紙!$G$226</definedName>
    <definedName name="keiyakuid215">新規別紙!$G$227</definedName>
    <definedName name="keiyakuid216">新規別紙!$G$228</definedName>
    <definedName name="keiyakuid217">新規別紙!$G$229</definedName>
    <definedName name="keiyakuid218">新規別紙!$G$230</definedName>
    <definedName name="keiyakuid219">新規別紙!$G$231</definedName>
    <definedName name="keiyakuid220">新規別紙!$G$232</definedName>
    <definedName name="keiyakuid221">新規別紙!$G$233</definedName>
    <definedName name="keiyakuid222">新規別紙!$G$234</definedName>
    <definedName name="keiyakuid223">新規別紙!$G$235</definedName>
    <definedName name="keiyakuid224">新規別紙!$G$236</definedName>
    <definedName name="keiyakuid225">新規別紙!$G$237</definedName>
    <definedName name="keiyakuid226">新規別紙!$G$238</definedName>
    <definedName name="keiyakuid227">新規別紙!$G$239</definedName>
    <definedName name="keiyakuid228">新規別紙!$G$240</definedName>
    <definedName name="keiyakuid229">新規別紙!$G$241</definedName>
    <definedName name="keiyakuid230">新規別紙!$G$242</definedName>
    <definedName name="keiyakuid231">新規別紙!$G$243</definedName>
    <definedName name="keiyakuid232">新規別紙!$G$244</definedName>
    <definedName name="keiyakuid233">新規別紙!$G$245</definedName>
    <definedName name="keiyakuid234">新規別紙!$G$246</definedName>
    <definedName name="keiyakuid235">新規別紙!$G$247</definedName>
    <definedName name="keiyakuid236">新規別紙!$G$248</definedName>
    <definedName name="keiyakuid237">新規別紙!$G$249</definedName>
    <definedName name="keiyakuid238">新規別紙!$G$250</definedName>
    <definedName name="keiyakuid239">新規別紙!$G$251</definedName>
    <definedName name="keiyakuid240">新規別紙!$G$252</definedName>
    <definedName name="keiyakuid241">新規別紙!$G$253</definedName>
    <definedName name="keiyakuid242">新規別紙!$G$254</definedName>
    <definedName name="keiyakuid243">新規別紙!$G$255</definedName>
    <definedName name="keiyakuid244">新規別紙!$G$256</definedName>
    <definedName name="keiyakuid245">新規別紙!$G$257</definedName>
    <definedName name="keiyakuid246">新規別紙!$G$258</definedName>
    <definedName name="keiyakuid247">新規別紙!$G$259</definedName>
    <definedName name="keiyakuid248">新規別紙!$G$260</definedName>
    <definedName name="keiyakuid249">新規別紙!$G$261</definedName>
    <definedName name="keiyakuid250">新規別紙!$G$262</definedName>
    <definedName name="keiyakuid251">新規別紙!$G$263</definedName>
    <definedName name="keiyakuid252">新規別紙!$G$264</definedName>
    <definedName name="keiyakuid253">新規別紙!$G$265</definedName>
    <definedName name="keiyakuid254">新規別紙!$G$266</definedName>
    <definedName name="keiyakuid255">新規別紙!$G$267</definedName>
    <definedName name="keiyakuid256">新規別紙!$G$268</definedName>
    <definedName name="keiyakuid257">新規別紙!$G$269</definedName>
    <definedName name="keiyakuid258">新規別紙!$G$270</definedName>
    <definedName name="keiyakuid259">新規別紙!$G$271</definedName>
    <definedName name="keiyakuid260">新規別紙!$G$272</definedName>
    <definedName name="keiyakuid261">新規別紙!$G$273</definedName>
    <definedName name="keiyakuid262">新規別紙!$G$274</definedName>
    <definedName name="keiyakuid263">新規別紙!$G$275</definedName>
    <definedName name="keiyakuid264">新規別紙!$G$276</definedName>
    <definedName name="keiyakuid265">新規別紙!$G$277</definedName>
    <definedName name="keiyakuid266">新規別紙!$G$278</definedName>
    <definedName name="keiyakuid267">新規別紙!$G$279</definedName>
    <definedName name="keiyakuid268">新規別紙!$G$280</definedName>
    <definedName name="keiyakuid269">新規別紙!$G$281</definedName>
    <definedName name="keiyakuid270">新規別紙!$G$282</definedName>
    <definedName name="keiyakuid271">新規別紙!$G$283</definedName>
    <definedName name="keiyakuid272">新規別紙!$G$284</definedName>
    <definedName name="keiyakuid273">新規別紙!$G$285</definedName>
    <definedName name="keiyakuid274">新規別紙!$G$286</definedName>
    <definedName name="keiyakuid275">新規別紙!$G$287</definedName>
    <definedName name="keiyakuid276">新規別紙!$G$288</definedName>
    <definedName name="keiyakuid277">新規別紙!$G$289</definedName>
    <definedName name="keiyakuid278">新規別紙!$G$290</definedName>
    <definedName name="keiyakuid279">新規別紙!$G$291</definedName>
    <definedName name="keiyakuid280">新規別紙!$G$292</definedName>
    <definedName name="keiyakuid281">新規別紙!$G$293</definedName>
    <definedName name="keiyakuid282">新規別紙!$G$294</definedName>
    <definedName name="keiyakuid283">新規別紙!$G$295</definedName>
    <definedName name="keiyakuid284">新規別紙!$G$296</definedName>
    <definedName name="keiyakuid285">新規別紙!$G$297</definedName>
    <definedName name="keiyakuid286">新規別紙!$G$298</definedName>
    <definedName name="keiyakuid287">新規別紙!$G$299</definedName>
    <definedName name="keiyakuid288">新規別紙!$G$300</definedName>
    <definedName name="keiyakuid289">新規別紙!$G$301</definedName>
    <definedName name="keiyakuid290">新規別紙!$G$302</definedName>
    <definedName name="keiyakuid291">新規別紙!$G$303</definedName>
    <definedName name="keiyakuid292">新規別紙!$G$304</definedName>
    <definedName name="keiyakuid293">新規別紙!$G$305</definedName>
    <definedName name="keiyakuid294">新規別紙!$G$306</definedName>
    <definedName name="keiyakuid295">新規別紙!$G$307</definedName>
    <definedName name="keiyakuid296">新規別紙!$G$308</definedName>
    <definedName name="keiyakuid297">新規別紙!$G$309</definedName>
    <definedName name="keiyakuid298">新規別紙!$G$310</definedName>
    <definedName name="keiyakuid299">新規別紙!$G$311</definedName>
    <definedName name="keiyakuid300">新規別紙!$G$312</definedName>
    <definedName name="keiyakuid301">新規別紙!$G$313</definedName>
    <definedName name="keiyakuid302">新規別紙!$G$314</definedName>
    <definedName name="keiyakuid303">新規別紙!$G$315</definedName>
    <definedName name="keiyakuid304">新規別紙!$G$316</definedName>
    <definedName name="keiyakuid305">新規別紙!$G$317</definedName>
    <definedName name="keiyakuid306">新規別紙!$G$318</definedName>
    <definedName name="keiyakuid307">新規別紙!$G$319</definedName>
    <definedName name="keiyakuid308">新規別紙!$G$320</definedName>
    <definedName name="keiyakuid309">新規別紙!$G$321</definedName>
    <definedName name="keiyakuid310">新規別紙!$G$322</definedName>
    <definedName name="keiyakuid311">新規別紙!$G$323</definedName>
    <definedName name="keiyakuid312">新規別紙!$G$324</definedName>
    <definedName name="keiyakuid313">新規別紙!$G$325</definedName>
    <definedName name="keiyakuid314">新規別紙!$G$326</definedName>
    <definedName name="keiyakuid315">新規別紙!$G$327</definedName>
    <definedName name="keiyakuid316">新規別紙!$G$328</definedName>
    <definedName name="keiyakuid317">新規別紙!$G$329</definedName>
    <definedName name="keiyakuid318">新規別紙!$G$330</definedName>
    <definedName name="keiyakuid319">新規別紙!$G$331</definedName>
    <definedName name="keiyakuid320">新規別紙!$G$332</definedName>
    <definedName name="keiyakuid321">新規別紙!$G$333</definedName>
    <definedName name="keiyakuid322">新規別紙!$G$334</definedName>
    <definedName name="keiyakuid323">新規別紙!$G$335</definedName>
    <definedName name="keiyakuid324">新規別紙!$G$336</definedName>
    <definedName name="keiyakuid325">新規別紙!$G$337</definedName>
    <definedName name="keiyakuid326">新規別紙!$G$338</definedName>
    <definedName name="keiyakuid327">新規別紙!$G$339</definedName>
    <definedName name="keiyakuid328">新規別紙!$G$340</definedName>
    <definedName name="keiyakuid329">新規別紙!$G$341</definedName>
    <definedName name="keiyakuid330">新規別紙!$G$342</definedName>
    <definedName name="keiyakuid331">新規別紙!$G$343</definedName>
    <definedName name="keiyakuid332">新規別紙!$G$344</definedName>
    <definedName name="keiyakuid333">新規別紙!$G$345</definedName>
    <definedName name="keiyakuid334">新規別紙!$G$346</definedName>
    <definedName name="keiyakuid335">新規別紙!$G$347</definedName>
    <definedName name="keiyakuid336">新規別紙!$G$348</definedName>
    <definedName name="keiyakuid337">新規別紙!$G$349</definedName>
    <definedName name="keiyakuid338">新規別紙!$G$350</definedName>
    <definedName name="keiyakuid339">新規別紙!$G$351</definedName>
    <definedName name="keiyakuid340">新規別紙!$G$352</definedName>
    <definedName name="keiyakuid341">新規別紙!$G$353</definedName>
    <definedName name="keiyakuid342">新規別紙!$G$354</definedName>
    <definedName name="keiyakuid343">新規別紙!$G$355</definedName>
    <definedName name="keiyakuid344">新規別紙!$G$356</definedName>
    <definedName name="keiyakuid345">新規別紙!$G$357</definedName>
    <definedName name="keiyakuid346">新規別紙!$G$358</definedName>
    <definedName name="keiyakuid347">新規別紙!$G$359</definedName>
    <definedName name="keiyakuid348">新規別紙!$G$360</definedName>
    <definedName name="keiyakuid349">新規別紙!$G$361</definedName>
    <definedName name="keiyakuid350">新規別紙!$G$362</definedName>
    <definedName name="keiyakuid351">新規別紙!$G$363</definedName>
    <definedName name="keiyakuid352">新規別紙!$G$364</definedName>
    <definedName name="keiyakuid353">新規別紙!$G$365</definedName>
    <definedName name="keiyakuid354">新規別紙!$G$366</definedName>
    <definedName name="keiyakuid355">新規別紙!$G$367</definedName>
    <definedName name="keiyakuid356">新規別紙!$G$368</definedName>
    <definedName name="keiyakuid357">新規別紙!$G$369</definedName>
    <definedName name="keiyakuid358">新規別紙!$G$370</definedName>
    <definedName name="keiyakuid359">新規別紙!$G$371</definedName>
    <definedName name="keiyakuid360">新規別紙!$G$372</definedName>
    <definedName name="keiyakuid361">新規別紙!$G$373</definedName>
    <definedName name="keiyakuid362">新規別紙!$G$374</definedName>
    <definedName name="keiyakuid363">新規別紙!$G$375</definedName>
    <definedName name="keiyakuid364">新規別紙!$G$376</definedName>
    <definedName name="keiyakuid365">新規別紙!$G$377</definedName>
    <definedName name="keiyakuid366">新規別紙!$G$378</definedName>
    <definedName name="keiyakuid367">新規別紙!$G$379</definedName>
    <definedName name="keiyakuid368">新規別紙!$G$380</definedName>
    <definedName name="keiyakuid369">新規別紙!$G$381</definedName>
    <definedName name="keiyakuid370">新規別紙!$G$382</definedName>
    <definedName name="keiyakuid371">新規別紙!$G$383</definedName>
    <definedName name="keiyakuid372">新規別紙!$G$384</definedName>
    <definedName name="keiyakuid373">新規別紙!$G$385</definedName>
    <definedName name="keiyakuid374">新規別紙!$G$386</definedName>
    <definedName name="keiyakuid375">新規別紙!$G$387</definedName>
    <definedName name="keiyakuid376">新規別紙!$G$388</definedName>
    <definedName name="keiyakuid377">新規別紙!$G$389</definedName>
    <definedName name="keiyakuid378">新規別紙!$G$390</definedName>
    <definedName name="keiyakuid379">新規別紙!$G$391</definedName>
    <definedName name="keiyakuid380">新規別紙!$G$392</definedName>
    <definedName name="keiyakuid381">新規別紙!$G$393</definedName>
    <definedName name="keiyakuid382">新規別紙!$G$394</definedName>
    <definedName name="keiyakuid383">新規別紙!$G$395</definedName>
    <definedName name="keiyakuid384">新規別紙!$G$396</definedName>
    <definedName name="keiyakuid385">新規別紙!$G$397</definedName>
    <definedName name="keiyakuid386">新規別紙!$G$398</definedName>
    <definedName name="keiyakuid387">新規別紙!$G$399</definedName>
    <definedName name="keiyakuid388">新規別紙!$G$400</definedName>
    <definedName name="keiyakuid389">新規別紙!$G$401</definedName>
    <definedName name="keiyakuid390">新規別紙!$G$402</definedName>
    <definedName name="keiyakuid391">新規別紙!$G$403</definedName>
    <definedName name="keiyakuid392">新規別紙!$G$404</definedName>
    <definedName name="keiyakuid393">新規別紙!$G$405</definedName>
    <definedName name="keiyakuid394">新規別紙!$G$406</definedName>
    <definedName name="keiyakuid395">新規別紙!$G$407</definedName>
    <definedName name="keiyakuid396">新規別紙!$G$408</definedName>
    <definedName name="keiyakuid397">新規別紙!$G$409</definedName>
    <definedName name="keiyakuid398">新規別紙!$G$410</definedName>
    <definedName name="keiyakuid399">新規別紙!$G$411</definedName>
    <definedName name="keiyakuid400">新規別紙!$G$412</definedName>
    <definedName name="keiyakuid401">新規別紙!$G$413</definedName>
    <definedName name="keiyakuid402">新規別紙!$G$414</definedName>
    <definedName name="keiyakuid403">新規別紙!$G$415</definedName>
    <definedName name="keiyakuid404">新規別紙!$G$416</definedName>
    <definedName name="keiyakuid405">新規別紙!$G$417</definedName>
    <definedName name="keiyakuid406">新規別紙!$G$418</definedName>
    <definedName name="keiyakuid407">新規別紙!$G$419</definedName>
    <definedName name="keiyakuid408">新規別紙!$G$420</definedName>
    <definedName name="keiyakuid409">新規別紙!$G$421</definedName>
    <definedName name="keiyakuid410">新規別紙!$G$422</definedName>
    <definedName name="keiyakuid411">新規別紙!$G$423</definedName>
    <definedName name="keiyakuid412">新規別紙!$G$424</definedName>
    <definedName name="keiyakuid413">新規別紙!$G$425</definedName>
    <definedName name="keiyakuid414">新規別紙!$G$426</definedName>
    <definedName name="keiyakuid415">新規別紙!$G$427</definedName>
    <definedName name="keiyakuid416">新規別紙!$G$428</definedName>
    <definedName name="keiyakuid417">新規別紙!$G$429</definedName>
    <definedName name="keiyakuid418">新規別紙!$G$430</definedName>
    <definedName name="keiyakuid419">新規別紙!$G$431</definedName>
    <definedName name="keiyakuid420">新規別紙!$G$432</definedName>
    <definedName name="keiyakuid421">新規別紙!$G$433</definedName>
    <definedName name="keiyakuid422">新規別紙!$G$434</definedName>
    <definedName name="keiyakuid423">新規別紙!$G$435</definedName>
    <definedName name="keiyakuid424">新規別紙!$G$436</definedName>
    <definedName name="keiyakuid425">新規別紙!$G$437</definedName>
    <definedName name="keiyakuid426">新規別紙!$G$438</definedName>
    <definedName name="keiyakuid427">新規別紙!$G$439</definedName>
    <definedName name="keiyakuid428">新規別紙!$G$440</definedName>
    <definedName name="keiyakuid429">新規別紙!$G$441</definedName>
    <definedName name="keiyakuid430">新規別紙!$G$442</definedName>
    <definedName name="keiyakuid431">新規別紙!$G$443</definedName>
    <definedName name="keiyakuid432">新規別紙!$G$444</definedName>
    <definedName name="keiyakuid433">新規別紙!$G$445</definedName>
    <definedName name="keiyakuid434">新規別紙!$G$446</definedName>
    <definedName name="keiyakuid435">新規別紙!$G$447</definedName>
    <definedName name="keiyakuid436">新規別紙!$G$448</definedName>
    <definedName name="keiyakuid437">新規別紙!$G$449</definedName>
    <definedName name="keiyakuid438">新規別紙!$G$450</definedName>
    <definedName name="keiyakuid439">新規別紙!$G$451</definedName>
    <definedName name="keiyakuid440">新規別紙!$G$452</definedName>
    <definedName name="keiyakuid441">新規別紙!$G$453</definedName>
    <definedName name="keiyakuid442">新規別紙!$G$454</definedName>
    <definedName name="keiyakuid443">新規別紙!$G$455</definedName>
    <definedName name="keiyakuid444">新規別紙!$G$456</definedName>
    <definedName name="keiyakuid445">新規別紙!$G$457</definedName>
    <definedName name="keiyakuid446">新規別紙!$G$458</definedName>
    <definedName name="keiyakuid447">新規別紙!$G$459</definedName>
    <definedName name="keiyakuid448">新規別紙!$G$460</definedName>
    <definedName name="keiyakuid449">新規別紙!$G$461</definedName>
    <definedName name="keiyakuid450">新規別紙!$G$462</definedName>
    <definedName name="keiyakuid451">新規別紙!$G$463</definedName>
    <definedName name="keiyakuid452">新規別紙!$G$464</definedName>
    <definedName name="keiyakuid453">新規別紙!$G$465</definedName>
    <definedName name="keiyakuid454">新規別紙!$G$466</definedName>
    <definedName name="keiyakuid455">新規別紙!$G$467</definedName>
    <definedName name="keiyakuid456">新規別紙!$G$468</definedName>
    <definedName name="keiyakuid457">新規別紙!$G$469</definedName>
    <definedName name="keiyakuid458">新規別紙!$G$470</definedName>
    <definedName name="keiyakuid459">新規別紙!$G$471</definedName>
    <definedName name="keiyakuid460">新規別紙!$G$472</definedName>
    <definedName name="keiyakuid461">新規別紙!$G$473</definedName>
    <definedName name="keiyakuid462">新規別紙!$G$474</definedName>
    <definedName name="keiyakuid463">新規別紙!$G$475</definedName>
    <definedName name="keiyakuid464">新規別紙!$G$476</definedName>
    <definedName name="keiyakuid465">新規別紙!$G$477</definedName>
    <definedName name="keiyakuid466">新規別紙!$G$478</definedName>
    <definedName name="keiyakuid467">新規別紙!$G$479</definedName>
    <definedName name="keiyakuid468">新規別紙!$G$480</definedName>
    <definedName name="keiyakuid469">新規別紙!$G$481</definedName>
    <definedName name="keiyakuid470">新規別紙!$G$482</definedName>
    <definedName name="keiyakuid471">新規別紙!$G$483</definedName>
    <definedName name="keiyakuid472">新規別紙!$G$484</definedName>
    <definedName name="keiyakuid473">新規別紙!$G$485</definedName>
    <definedName name="keiyakuid474">新規別紙!$G$486</definedName>
    <definedName name="keiyakuid475">新規別紙!$G$487</definedName>
    <definedName name="keiyakuid476">新規別紙!$G$488</definedName>
    <definedName name="keiyakuid477">新規別紙!$G$489</definedName>
    <definedName name="keiyakuid478">新規別紙!$G$490</definedName>
    <definedName name="keiyakuid479">新規別紙!$G$491</definedName>
    <definedName name="keiyakuid480">新規別紙!$G$492</definedName>
    <definedName name="keiyakuid481">新規別紙!$G$493</definedName>
    <definedName name="keiyakuid482">新規別紙!$G$494</definedName>
    <definedName name="keiyakuid483">新規別紙!$G$495</definedName>
    <definedName name="keiyakuid484">新規別紙!$G$496</definedName>
    <definedName name="keiyakuid485">新規別紙!$G$497</definedName>
    <definedName name="keiyakuid486">新規別紙!$G$498</definedName>
    <definedName name="keiyakuid487">新規別紙!$G$499</definedName>
    <definedName name="keiyakuid488">新規別紙!$G$500</definedName>
    <definedName name="keiyakuid489">新規別紙!$G$501</definedName>
    <definedName name="keiyakuid490">新規別紙!$G$502</definedName>
    <definedName name="keiyakuid491">新規別紙!$G$503</definedName>
    <definedName name="keiyakuid492">新規別紙!$G$504</definedName>
    <definedName name="keiyakuid493">新規別紙!$G$505</definedName>
    <definedName name="keiyakuid494">新規別紙!$G$506</definedName>
    <definedName name="keiyakuid495">新規別紙!$G$507</definedName>
    <definedName name="keiyakuid496">新規別紙!$G$508</definedName>
    <definedName name="keiyakuid497">新規別紙!$G$509</definedName>
    <definedName name="keiyakuid498">新規別紙!$G$510</definedName>
    <definedName name="keiyakuid499">新規別紙!$G$511</definedName>
    <definedName name="keiyakuid500">新規別紙!$G$512</definedName>
    <definedName name="_xlnm.Print_Area" localSheetId="2">【記載例】新規お申込書!$A$1:$AJ$37</definedName>
    <definedName name="_xlnm.Print_Area" localSheetId="0">新規お申込書!$A$1:$AJ$37</definedName>
    <definedName name="salesChannelDeptName">新規お申込書!$M$43</definedName>
    <definedName name="salesChannelMailAddress">新規お申込書!$M$49</definedName>
    <definedName name="salesChannelPersonName">新規お申込書!$M$45</definedName>
    <definedName name="salesChannelPhoneNumber">新規お申込書!$M$47</definedName>
    <definedName name="shubetsu001">新規別紙!$D$13</definedName>
    <definedName name="shubetsu002">新規別紙!$D$14</definedName>
    <definedName name="shubetsu003">新規別紙!$D$15</definedName>
    <definedName name="shubetsu004">新規別紙!$D$16</definedName>
    <definedName name="shubetsu005">新規別紙!$D$17</definedName>
    <definedName name="shubetsu006">新規別紙!$D$18</definedName>
    <definedName name="shubetsu007">新規別紙!$D$19</definedName>
    <definedName name="shubetsu008">新規別紙!$D$20</definedName>
    <definedName name="shubetsu009">新規別紙!$D$21</definedName>
    <definedName name="shubetsu010">新規別紙!$D$22</definedName>
    <definedName name="shubetsu011">新規別紙!$D$23</definedName>
    <definedName name="shubetsu012">新規別紙!$D$24</definedName>
    <definedName name="shubetsu013">新規別紙!$D$25</definedName>
    <definedName name="shubetsu014">新規別紙!$D$26</definedName>
    <definedName name="shubetsu015">新規別紙!$D$27</definedName>
    <definedName name="shubetsu016">新規別紙!$D$28</definedName>
    <definedName name="shubetsu017">新規別紙!$D$29</definedName>
    <definedName name="shubetsu018">新規別紙!$D$30</definedName>
    <definedName name="shubetsu019">新規別紙!$D$31</definedName>
    <definedName name="shubetsu020">新規別紙!$D$32</definedName>
    <definedName name="shubetsu021">新規別紙!$D$33</definedName>
    <definedName name="shubetsu022">新規別紙!$D$34</definedName>
    <definedName name="shubetsu023">新規別紙!$D$35</definedName>
    <definedName name="shubetsu024">新規別紙!$D$36</definedName>
    <definedName name="shubetsu025">新規別紙!$D$37</definedName>
    <definedName name="shubetsu026">新規別紙!$D$38</definedName>
    <definedName name="shubetsu027">新規別紙!$D$39</definedName>
    <definedName name="shubetsu028">新規別紙!$D$40</definedName>
    <definedName name="shubetsu029">新規別紙!$D$41</definedName>
    <definedName name="shubetsu030">新規別紙!$D$42</definedName>
    <definedName name="shubetsu031">新規別紙!$D$43</definedName>
    <definedName name="shubetsu032">新規別紙!$D$44</definedName>
    <definedName name="shubetsu033">新規別紙!$D$45</definedName>
    <definedName name="shubetsu034">新規別紙!$D$46</definedName>
    <definedName name="shubetsu035">新規別紙!$D$47</definedName>
    <definedName name="shubetsu036">新規別紙!$D$48</definedName>
    <definedName name="shubetsu037">新規別紙!$D$49</definedName>
    <definedName name="shubetsu038">新規別紙!$D$50</definedName>
    <definedName name="shubetsu039">新規別紙!$D$51</definedName>
    <definedName name="shubetsu040">新規別紙!$D$52</definedName>
    <definedName name="shubetsu041">新規別紙!$D$53</definedName>
    <definedName name="shubetsu042">新規別紙!$D$54</definedName>
    <definedName name="shubetsu043">新規別紙!$D$55</definedName>
    <definedName name="shubetsu044">新規別紙!$D$56</definedName>
    <definedName name="shubetsu045">新規別紙!$D$57</definedName>
    <definedName name="shubetsu046">新規別紙!$D$58</definedName>
    <definedName name="shubetsu047">新規別紙!$D$59</definedName>
    <definedName name="shubetsu048">新規別紙!$D$60</definedName>
    <definedName name="shubetsu049">新規別紙!$D$61</definedName>
    <definedName name="shubetsu050">新規別紙!$D$62</definedName>
    <definedName name="shubetsu051">新規別紙!$D$63</definedName>
    <definedName name="shubetsu052">新規別紙!$D$64</definedName>
    <definedName name="shubetsu053">新規別紙!$D$65</definedName>
    <definedName name="shubetsu054">新規別紙!$D$66</definedName>
    <definedName name="shubetsu055">新規別紙!$D$67</definedName>
    <definedName name="shubetsu056">新規別紙!$D$68</definedName>
    <definedName name="shubetsu057">新規別紙!$D$69</definedName>
    <definedName name="shubetsu058">新規別紙!$D$70</definedName>
    <definedName name="shubetsu059">新規別紙!$D$71</definedName>
    <definedName name="shubetsu060">新規別紙!$D$72</definedName>
    <definedName name="shubetsu061">新規別紙!$D$73</definedName>
    <definedName name="shubetsu062">新規別紙!$D$74</definedName>
    <definedName name="shubetsu063">新規別紙!$D$75</definedName>
    <definedName name="shubetsu064">新規別紙!$D$76</definedName>
    <definedName name="shubetsu065">新規別紙!$D$77</definedName>
    <definedName name="shubetsu066">新規別紙!$D$78</definedName>
    <definedName name="shubetsu067">新規別紙!$D$79</definedName>
    <definedName name="shubetsu068">新規別紙!$D$80</definedName>
    <definedName name="shubetsu069">新規別紙!$D$81</definedName>
    <definedName name="shubetsu070">新規別紙!$D$82</definedName>
    <definedName name="shubetsu071">新規別紙!$D$83</definedName>
    <definedName name="shubetsu072">新規別紙!$D$84</definedName>
    <definedName name="shubetsu073">新規別紙!$D$85</definedName>
    <definedName name="shubetsu074">新規別紙!$D$86</definedName>
    <definedName name="shubetsu075">新規別紙!$D$87</definedName>
    <definedName name="shubetsu076">新規別紙!$D$88</definedName>
    <definedName name="shubetsu077">新規別紙!$D$89</definedName>
    <definedName name="shubetsu078">新規別紙!$D$90</definedName>
    <definedName name="shubetsu079">新規別紙!$D$91</definedName>
    <definedName name="shubetsu080">新規別紙!$D$92</definedName>
    <definedName name="shubetsu081">新規別紙!$D$93</definedName>
    <definedName name="shubetsu082">新規別紙!$D$94</definedName>
    <definedName name="shubetsu083">新規別紙!$D$95</definedName>
    <definedName name="shubetsu084">新規別紙!$D$96</definedName>
    <definedName name="shubetsu085">新規別紙!$D$97</definedName>
    <definedName name="shubetsu086">新規別紙!$D$98</definedName>
    <definedName name="shubetsu087">新規別紙!$D$99</definedName>
    <definedName name="shubetsu088">新規別紙!$D$100</definedName>
    <definedName name="shubetsu089">新規別紙!$D$101</definedName>
    <definedName name="shubetsu090">新規別紙!$D$102</definedName>
    <definedName name="shubetsu091">新規別紙!$D$103</definedName>
    <definedName name="shubetsu092">新規別紙!$D$104</definedName>
    <definedName name="shubetsu093">新規別紙!$D$105</definedName>
    <definedName name="shubetsu094">新規別紙!$D$106</definedName>
    <definedName name="shubetsu095">新規別紙!$D$107</definedName>
    <definedName name="shubetsu096">新規別紙!$D$108</definedName>
    <definedName name="shubetsu097">新規別紙!$D$109</definedName>
    <definedName name="shubetsu098">新規別紙!$D$110</definedName>
    <definedName name="shubetsu099">新規別紙!$D$111</definedName>
    <definedName name="shubetsu100">新規別紙!$D$112</definedName>
    <definedName name="shubetsu101">新規別紙!$D$113</definedName>
    <definedName name="shubetsu102">新規別紙!$D$114</definedName>
    <definedName name="shubetsu103">新規別紙!$D$115</definedName>
    <definedName name="shubetsu104">新規別紙!$D$116</definedName>
    <definedName name="shubetsu105">新規別紙!$D$117</definedName>
    <definedName name="shubetsu106">新規別紙!$D$118</definedName>
    <definedName name="shubetsu107">新規別紙!$D$119</definedName>
    <definedName name="shubetsu108">新規別紙!$D$120</definedName>
    <definedName name="shubetsu109">新規別紙!$D$121</definedName>
    <definedName name="shubetsu110">新規別紙!$D$122</definedName>
    <definedName name="shubetsu111">新規別紙!$D$123</definedName>
    <definedName name="shubetsu112">新規別紙!$D$124</definedName>
    <definedName name="shubetsu113">新規別紙!$D$125</definedName>
    <definedName name="shubetsu114">新規別紙!$D$126</definedName>
    <definedName name="shubetsu115">新規別紙!$D$127</definedName>
    <definedName name="shubetsu116">新規別紙!$D$128</definedName>
    <definedName name="shubetsu117">新規別紙!$D$129</definedName>
    <definedName name="shubetsu118">新規別紙!$D$130</definedName>
    <definedName name="shubetsu119">新規別紙!$D$131</definedName>
    <definedName name="shubetsu120">新規別紙!$D$132</definedName>
    <definedName name="shubetsu121">新規別紙!$D$133</definedName>
    <definedName name="shubetsu122">新規別紙!$D$134</definedName>
    <definedName name="shubetsu123">新規別紙!$D$135</definedName>
    <definedName name="shubetsu124">新規別紙!$D$136</definedName>
    <definedName name="shubetsu125">新規別紙!$D$137</definedName>
    <definedName name="shubetsu126">新規別紙!$D$138</definedName>
    <definedName name="shubetsu127">新規別紙!$D$139</definedName>
    <definedName name="shubetsu128">新規別紙!$D$140</definedName>
    <definedName name="shubetsu129">新規別紙!$D$141</definedName>
    <definedName name="shubetsu130">新規別紙!$D$142</definedName>
    <definedName name="shubetsu131">新規別紙!$D$143</definedName>
    <definedName name="shubetsu132">新規別紙!$D$144</definedName>
    <definedName name="shubetsu133">新規別紙!$D$145</definedName>
    <definedName name="shubetsu134">新規別紙!$D$146</definedName>
    <definedName name="shubetsu135">新規別紙!$D$147</definedName>
    <definedName name="shubetsu136">新規別紙!$D$148</definedName>
    <definedName name="shubetsu137">新規別紙!$D$149</definedName>
    <definedName name="shubetsu138">新規別紙!$D$150</definedName>
    <definedName name="shubetsu139">新規別紙!$D$151</definedName>
    <definedName name="shubetsu140">新規別紙!$D$152</definedName>
    <definedName name="shubetsu141">新規別紙!$D$153</definedName>
    <definedName name="shubetsu142">新規別紙!$D$154</definedName>
    <definedName name="shubetsu143">新規別紙!$D$155</definedName>
    <definedName name="shubetsu144">新規別紙!$D$156</definedName>
    <definedName name="shubetsu145">新規別紙!$D$157</definedName>
    <definedName name="shubetsu146">新規別紙!$D$158</definedName>
    <definedName name="shubetsu147">新規別紙!$D$159</definedName>
    <definedName name="shubetsu148">新規別紙!$D$160</definedName>
    <definedName name="shubetsu149">新規別紙!$D$161</definedName>
    <definedName name="shubetsu150">新規別紙!$D$162</definedName>
    <definedName name="shubetsu151">新規別紙!$D$163</definedName>
    <definedName name="shubetsu152">新規別紙!$D$164</definedName>
    <definedName name="shubetsu153">新規別紙!$D$165</definedName>
    <definedName name="shubetsu154">新規別紙!$D$166</definedName>
    <definedName name="shubetsu155">新規別紙!$D$167</definedName>
    <definedName name="shubetsu156">新規別紙!$D$168</definedName>
    <definedName name="shubetsu157">新規別紙!$D$169</definedName>
    <definedName name="shubetsu158">新規別紙!$D$170</definedName>
    <definedName name="shubetsu159">新規別紙!$D$171</definedName>
    <definedName name="shubetsu160">新規別紙!$D$172</definedName>
    <definedName name="shubetsu161">新規別紙!$D$173</definedName>
    <definedName name="shubetsu162">新規別紙!$D$174</definedName>
    <definedName name="shubetsu163">新規別紙!$D$175</definedName>
    <definedName name="shubetsu164">新規別紙!$D$176</definedName>
    <definedName name="shubetsu165">新規別紙!$D$177</definedName>
    <definedName name="shubetsu166">新規別紙!$D$178</definedName>
    <definedName name="shubetsu167">新規別紙!$D$179</definedName>
    <definedName name="shubetsu168">新規別紙!$D$180</definedName>
    <definedName name="shubetsu169">新規別紙!$D$181</definedName>
    <definedName name="shubetsu170">新規別紙!$D$182</definedName>
    <definedName name="shubetsu171">新規別紙!$D$183</definedName>
    <definedName name="shubetsu172">新規別紙!$D$184</definedName>
    <definedName name="shubetsu173">新規別紙!$D$185</definedName>
    <definedName name="shubetsu174">新規別紙!$D$186</definedName>
    <definedName name="shubetsu175">新規別紙!$D$187</definedName>
    <definedName name="shubetsu176">新規別紙!$D$188</definedName>
    <definedName name="shubetsu177">新規別紙!$D$189</definedName>
    <definedName name="shubetsu178">新規別紙!$D$190</definedName>
    <definedName name="shubetsu179">新規別紙!$D$191</definedName>
    <definedName name="shubetsu180">新規別紙!$D$192</definedName>
    <definedName name="shubetsu181">新規別紙!$D$193</definedName>
    <definedName name="shubetsu182">新規別紙!$D$194</definedName>
    <definedName name="shubetsu183">新規別紙!$D$195</definedName>
    <definedName name="shubetsu184">新規別紙!$D$196</definedName>
    <definedName name="shubetsu185">新規別紙!$D$197</definedName>
    <definedName name="shubetsu186">新規別紙!$D$198</definedName>
    <definedName name="shubetsu187">新規別紙!$D$199</definedName>
    <definedName name="shubetsu188">新規別紙!$D$200</definedName>
    <definedName name="shubetsu189">新規別紙!$D$201</definedName>
    <definedName name="shubetsu190">新規別紙!$D$202</definedName>
    <definedName name="shubetsu191">新規別紙!$D$203</definedName>
    <definedName name="shubetsu192">新規別紙!$D$204</definedName>
    <definedName name="shubetsu193">新規別紙!$D$205</definedName>
    <definedName name="shubetsu194">新規別紙!$D$206</definedName>
    <definedName name="shubetsu195">新規別紙!$D$207</definedName>
    <definedName name="shubetsu196">新規別紙!$D$208</definedName>
    <definedName name="shubetsu197">新規別紙!$D$209</definedName>
    <definedName name="shubetsu198">新規別紙!$D$210</definedName>
    <definedName name="shubetsu199">新規別紙!$D$211</definedName>
    <definedName name="shubetsu200">新規別紙!$D$212</definedName>
    <definedName name="shubetsu201">新規別紙!$D$213</definedName>
    <definedName name="shubetsu202">新規別紙!$D$214</definedName>
    <definedName name="shubetsu203">新規別紙!$D$215</definedName>
    <definedName name="shubetsu204">新規別紙!$D$216</definedName>
    <definedName name="shubetsu205">新規別紙!$D$217</definedName>
    <definedName name="shubetsu206">新規別紙!$D$218</definedName>
    <definedName name="shubetsu207">新規別紙!$D$219</definedName>
    <definedName name="shubetsu208">新規別紙!$D$220</definedName>
    <definedName name="shubetsu209">新規別紙!$D$221</definedName>
    <definedName name="shubetsu210">新規別紙!$D$222</definedName>
    <definedName name="shubetsu211">新規別紙!$D$223</definedName>
    <definedName name="shubetsu212">新規別紙!$D$224</definedName>
    <definedName name="shubetsu213">新規別紙!$D$225</definedName>
    <definedName name="shubetsu214">新規別紙!$D$226</definedName>
    <definedName name="shubetsu215">新規別紙!$D$227</definedName>
    <definedName name="shubetsu216">新規別紙!$D$228</definedName>
    <definedName name="shubetsu217">新規別紙!$D$229</definedName>
    <definedName name="shubetsu218">新規別紙!$D$230</definedName>
    <definedName name="shubetsu219">新規別紙!$D$231</definedName>
    <definedName name="shubetsu220">新規別紙!$D$232</definedName>
    <definedName name="shubetsu221">新規別紙!$D$233</definedName>
    <definedName name="shubetsu222">新規別紙!$D$234</definedName>
    <definedName name="shubetsu223">新規別紙!$D$235</definedName>
    <definedName name="shubetsu224">新規別紙!$D$236</definedName>
    <definedName name="shubetsu225">新規別紙!$D$237</definedName>
    <definedName name="shubetsu226">新規別紙!$D$238</definedName>
    <definedName name="shubetsu227">新規別紙!$D$239</definedName>
    <definedName name="shubetsu228">新規別紙!$D$240</definedName>
    <definedName name="shubetsu229">新規別紙!$D$241</definedName>
    <definedName name="shubetsu230">新規別紙!$D$242</definedName>
    <definedName name="shubetsu231">新規別紙!$D$243</definedName>
    <definedName name="shubetsu232">新規別紙!$D$244</definedName>
    <definedName name="shubetsu233">新規別紙!$D$245</definedName>
    <definedName name="shubetsu234">新規別紙!$D$246</definedName>
    <definedName name="shubetsu235">新規別紙!$D$247</definedName>
    <definedName name="shubetsu236">新規別紙!$D$248</definedName>
    <definedName name="shubetsu237">新規別紙!$D$249</definedName>
    <definedName name="shubetsu238">新規別紙!$D$250</definedName>
    <definedName name="shubetsu239">新規別紙!$D$251</definedName>
    <definedName name="shubetsu240">新規別紙!$D$252</definedName>
    <definedName name="shubetsu241">新規別紙!$D$253</definedName>
    <definedName name="shubetsu242">新規別紙!$D$254</definedName>
    <definedName name="shubetsu243">新規別紙!$D$255</definedName>
    <definedName name="shubetsu244">新規別紙!$D$256</definedName>
    <definedName name="shubetsu245">新規別紙!$D$257</definedName>
    <definedName name="shubetsu246">新規別紙!$D$258</definedName>
    <definedName name="shubetsu247">新規別紙!$D$259</definedName>
    <definedName name="shubetsu248">新規別紙!$D$260</definedName>
    <definedName name="shubetsu249">新規別紙!$D$261</definedName>
    <definedName name="shubetsu250">新規別紙!$D$262</definedName>
    <definedName name="shubetsu251">新規別紙!$D$263</definedName>
    <definedName name="shubetsu252">新規別紙!$D$264</definedName>
    <definedName name="shubetsu253">新規別紙!$D$265</definedName>
    <definedName name="shubetsu254">新規別紙!$D$266</definedName>
    <definedName name="shubetsu255">新規別紙!$D$267</definedName>
    <definedName name="shubetsu256">新規別紙!$D$268</definedName>
    <definedName name="shubetsu257">新規別紙!$D$269</definedName>
    <definedName name="shubetsu258">新規別紙!$D$270</definedName>
    <definedName name="shubetsu259">新規別紙!$D$271</definedName>
    <definedName name="shubetsu260">新規別紙!$D$272</definedName>
    <definedName name="shubetsu261">新規別紙!$D$273</definedName>
    <definedName name="shubetsu262">新規別紙!$D$274</definedName>
    <definedName name="shubetsu263">新規別紙!$D$275</definedName>
    <definedName name="shubetsu264">新規別紙!$D$276</definedName>
    <definedName name="shubetsu265">新規別紙!$D$277</definedName>
    <definedName name="shubetsu266">新規別紙!$D$278</definedName>
    <definedName name="shubetsu267">新規別紙!$D$279</definedName>
    <definedName name="shubetsu268">新規別紙!$D$280</definedName>
    <definedName name="shubetsu269">新規別紙!$D$281</definedName>
    <definedName name="shubetsu270">新規別紙!$D$282</definedName>
    <definedName name="shubetsu271">新規別紙!$D$283</definedName>
    <definedName name="shubetsu272">新規別紙!$D$284</definedName>
    <definedName name="shubetsu273">新規別紙!$D$285</definedName>
    <definedName name="shubetsu274">新規別紙!$D$286</definedName>
    <definedName name="shubetsu275">新規別紙!$D$287</definedName>
    <definedName name="shubetsu276">新規別紙!$D$288</definedName>
    <definedName name="shubetsu277">新規別紙!$D$289</definedName>
    <definedName name="shubetsu278">新規別紙!$D$290</definedName>
    <definedName name="shubetsu279">新規別紙!$D$291</definedName>
    <definedName name="shubetsu280">新規別紙!$D$292</definedName>
    <definedName name="shubetsu281">新規別紙!$D$293</definedName>
    <definedName name="shubetsu282">新規別紙!$D$294</definedName>
    <definedName name="shubetsu283">新規別紙!$D$295</definedName>
    <definedName name="shubetsu284">新規別紙!$D$296</definedName>
    <definedName name="shubetsu285">新規別紙!$D$297</definedName>
    <definedName name="shubetsu286">新規別紙!$D$298</definedName>
    <definedName name="shubetsu287">新規別紙!$D$299</definedName>
    <definedName name="shubetsu288">新規別紙!$D$300</definedName>
    <definedName name="shubetsu289">新規別紙!$D$301</definedName>
    <definedName name="shubetsu290">新規別紙!$D$302</definedName>
    <definedName name="shubetsu291">新規別紙!$D$303</definedName>
    <definedName name="shubetsu292">新規別紙!$D$304</definedName>
    <definedName name="shubetsu293">新規別紙!$D$305</definedName>
    <definedName name="shubetsu294">新規別紙!$D$306</definedName>
    <definedName name="shubetsu295">新規別紙!$D$307</definedName>
    <definedName name="shubetsu296">新規別紙!$D$308</definedName>
    <definedName name="shubetsu297">新規別紙!$D$309</definedName>
    <definedName name="shubetsu298">新規別紙!$D$310</definedName>
    <definedName name="shubetsu299">新規別紙!$D$311</definedName>
    <definedName name="shubetsu300">新規別紙!$D$312</definedName>
    <definedName name="shubetsu301">新規別紙!$D$313</definedName>
    <definedName name="shubetsu302">新規別紙!$D$314</definedName>
    <definedName name="shubetsu303">新規別紙!$D$315</definedName>
    <definedName name="shubetsu304">新規別紙!$D$316</definedName>
    <definedName name="shubetsu305">新規別紙!$D$317</definedName>
    <definedName name="shubetsu306">新規別紙!$D$318</definedName>
    <definedName name="shubetsu307">新規別紙!$D$319</definedName>
    <definedName name="shubetsu308">新規別紙!$D$320</definedName>
    <definedName name="shubetsu309">新規別紙!$D$321</definedName>
    <definedName name="shubetsu310">新規別紙!$D$322</definedName>
    <definedName name="shubetsu311">新規別紙!$D$323</definedName>
    <definedName name="shubetsu312">新規別紙!$D$324</definedName>
    <definedName name="shubetsu313">新規別紙!$D$325</definedName>
    <definedName name="shubetsu314">新規別紙!$D$326</definedName>
    <definedName name="shubetsu315">新規別紙!$D$327</definedName>
    <definedName name="shubetsu316">新規別紙!$D$328</definedName>
    <definedName name="shubetsu317">新規別紙!$D$329</definedName>
    <definedName name="shubetsu318">新規別紙!$D$330</definedName>
    <definedName name="shubetsu319">新規別紙!$D$331</definedName>
    <definedName name="shubetsu320">新規別紙!$D$332</definedName>
    <definedName name="shubetsu321">新規別紙!$D$333</definedName>
    <definedName name="shubetsu322">新規別紙!$D$334</definedName>
    <definedName name="shubetsu323">新規別紙!$D$335</definedName>
    <definedName name="shubetsu324">新規別紙!$D$336</definedName>
    <definedName name="shubetsu325">新規別紙!$D$337</definedName>
    <definedName name="shubetsu326">新規別紙!$D$338</definedName>
    <definedName name="shubetsu327">新規別紙!$D$339</definedName>
    <definedName name="shubetsu328">新規別紙!$D$340</definedName>
    <definedName name="shubetsu329">新規別紙!$D$341</definedName>
    <definedName name="shubetsu330">新規別紙!$D$342</definedName>
    <definedName name="shubetsu331">新規別紙!$D$343</definedName>
    <definedName name="shubetsu332">新規別紙!$D$344</definedName>
    <definedName name="shubetsu333">新規別紙!$D$345</definedName>
    <definedName name="shubetsu334">新規別紙!$D$346</definedName>
    <definedName name="shubetsu335">新規別紙!$D$347</definedName>
    <definedName name="shubetsu336">新規別紙!$D$348</definedName>
    <definedName name="shubetsu337">新規別紙!$D$349</definedName>
    <definedName name="shubetsu338">新規別紙!$D$350</definedName>
    <definedName name="shubetsu339">新規別紙!$D$351</definedName>
    <definedName name="shubetsu340">新規別紙!$D$352</definedName>
    <definedName name="shubetsu341">新規別紙!$D$353</definedName>
    <definedName name="shubetsu342">新規別紙!$D$354</definedName>
    <definedName name="shubetsu343">新規別紙!$D$355</definedName>
    <definedName name="shubetsu344">新規別紙!$D$356</definedName>
    <definedName name="shubetsu345">新規別紙!$D$357</definedName>
    <definedName name="shubetsu346">新規別紙!$D$358</definedName>
    <definedName name="shubetsu347">新規別紙!$D$359</definedName>
    <definedName name="shubetsu348">新規別紙!$D$360</definedName>
    <definedName name="shubetsu349">新規別紙!$D$361</definedName>
    <definedName name="shubetsu350">新規別紙!$D$362</definedName>
    <definedName name="shubetsu351">新規別紙!$D$363</definedName>
    <definedName name="shubetsu352">新規別紙!$D$364</definedName>
    <definedName name="shubetsu353">新規別紙!$D$365</definedName>
    <definedName name="shubetsu354">新規別紙!$D$366</definedName>
    <definedName name="shubetsu355">新規別紙!$D$367</definedName>
    <definedName name="shubetsu356">新規別紙!$D$368</definedName>
    <definedName name="shubetsu357">新規別紙!$D$369</definedName>
    <definedName name="shubetsu358">新規別紙!$D$370</definedName>
    <definedName name="shubetsu359">新規別紙!$D$371</definedName>
    <definedName name="shubetsu360">新規別紙!$D$372</definedName>
    <definedName name="shubetsu361">新規別紙!$D$373</definedName>
    <definedName name="shubetsu362">新規別紙!$D$374</definedName>
    <definedName name="shubetsu363">新規別紙!$D$375</definedName>
    <definedName name="shubetsu364">新規別紙!$D$376</definedName>
    <definedName name="shubetsu365">新規別紙!$D$377</definedName>
    <definedName name="shubetsu366">新規別紙!$D$378</definedName>
    <definedName name="shubetsu367">新規別紙!$D$379</definedName>
    <definedName name="shubetsu368">新規別紙!$D$380</definedName>
    <definedName name="shubetsu369">新規別紙!$D$381</definedName>
    <definedName name="shubetsu370">新規別紙!$D$382</definedName>
    <definedName name="shubetsu371">新規別紙!$D$383</definedName>
    <definedName name="shubetsu372">新規別紙!$D$384</definedName>
    <definedName name="shubetsu373">新規別紙!$D$385</definedName>
    <definedName name="shubetsu374">新規別紙!$D$386</definedName>
    <definedName name="shubetsu375">新規別紙!$D$387</definedName>
    <definedName name="shubetsu376">新規別紙!$D$388</definedName>
    <definedName name="shubetsu377">新規別紙!$D$389</definedName>
    <definedName name="shubetsu378">新規別紙!$D$390</definedName>
    <definedName name="shubetsu379">新規別紙!$D$391</definedName>
    <definedName name="shubetsu380">新規別紙!$D$392</definedName>
    <definedName name="shubetsu381">新規別紙!$D$393</definedName>
    <definedName name="shubetsu382">新規別紙!$D$394</definedName>
    <definedName name="shubetsu383">新規別紙!$D$395</definedName>
    <definedName name="shubetsu384">新規別紙!$D$396</definedName>
    <definedName name="shubetsu385">新規別紙!$D$397</definedName>
    <definedName name="shubetsu386">新規別紙!$D$398</definedName>
    <definedName name="shubetsu387">新規別紙!$D$399</definedName>
    <definedName name="shubetsu388">新規別紙!$D$400</definedName>
    <definedName name="shubetsu389">新規別紙!$D$401</definedName>
    <definedName name="shubetsu390">新規別紙!$D$402</definedName>
    <definedName name="shubetsu391">新規別紙!$D$403</definedName>
    <definedName name="shubetsu392">新規別紙!$D$404</definedName>
    <definedName name="shubetsu393">新規別紙!$D$405</definedName>
    <definedName name="shubetsu394">新規別紙!$D$406</definedName>
    <definedName name="shubetsu395">新規別紙!$D$407</definedName>
    <definedName name="shubetsu396">新規別紙!$D$408</definedName>
    <definedName name="shubetsu397">新規別紙!$D$409</definedName>
    <definedName name="shubetsu398">新規別紙!$D$410</definedName>
    <definedName name="shubetsu399">新規別紙!$D$411</definedName>
    <definedName name="shubetsu400">新規別紙!$D$412</definedName>
    <definedName name="shubetsu401">新規別紙!$D$413</definedName>
    <definedName name="shubetsu402">新規別紙!$D$414</definedName>
    <definedName name="shubetsu403">新規別紙!$D$415</definedName>
    <definedName name="shubetsu404">新規別紙!$D$416</definedName>
    <definedName name="shubetsu405">新規別紙!$D$417</definedName>
    <definedName name="shubetsu406">新規別紙!$D$418</definedName>
    <definedName name="shubetsu407">新規別紙!$D$419</definedName>
    <definedName name="shubetsu408">新規別紙!$D$420</definedName>
    <definedName name="shubetsu409">新規別紙!$D$421</definedName>
    <definedName name="shubetsu410">新規別紙!$D$422</definedName>
    <definedName name="shubetsu411">新規別紙!$D$423</definedName>
    <definedName name="shubetsu412">新規別紙!$D$424</definedName>
    <definedName name="shubetsu413">新規別紙!$D$425</definedName>
    <definedName name="shubetsu414">新規別紙!$D$426</definedName>
    <definedName name="shubetsu415">新規別紙!$D$427</definedName>
    <definedName name="shubetsu416">新規別紙!$D$428</definedName>
    <definedName name="shubetsu417">新規別紙!$D$429</definedName>
    <definedName name="shubetsu418">新規別紙!$D$430</definedName>
    <definedName name="shubetsu419">新規別紙!$D$431</definedName>
    <definedName name="shubetsu420">新規別紙!$D$432</definedName>
    <definedName name="shubetsu421">新規別紙!$D$433</definedName>
    <definedName name="shubetsu422">新規別紙!$D$434</definedName>
    <definedName name="shubetsu423">新規別紙!$D$435</definedName>
    <definedName name="shubetsu424">新規別紙!$D$436</definedName>
    <definedName name="shubetsu425">新規別紙!$D$437</definedName>
    <definedName name="shubetsu426">新規別紙!$D$438</definedName>
    <definedName name="shubetsu427">新規別紙!$D$439</definedName>
    <definedName name="shubetsu428">新規別紙!$D$440</definedName>
    <definedName name="shubetsu429">新規別紙!$D$441</definedName>
    <definedName name="shubetsu430">新規別紙!$D$442</definedName>
    <definedName name="shubetsu431">新規別紙!$D$443</definedName>
    <definedName name="shubetsu432">新規別紙!$D$444</definedName>
    <definedName name="shubetsu433">新規別紙!$D$445</definedName>
    <definedName name="shubetsu434">新規別紙!$D$446</definedName>
    <definedName name="shubetsu435">新規別紙!$D$447</definedName>
    <definedName name="shubetsu436">新規別紙!$D$448</definedName>
    <definedName name="shubetsu437">新規別紙!$D$449</definedName>
    <definedName name="shubetsu438">新規別紙!$D$450</definedName>
    <definedName name="shubetsu439">新規別紙!$D$451</definedName>
    <definedName name="shubetsu440">新規別紙!$D$452</definedName>
    <definedName name="shubetsu441">新規別紙!$D$453</definedName>
    <definedName name="shubetsu442">新規別紙!$D$454</definedName>
    <definedName name="shubetsu443">新規別紙!$D$455</definedName>
    <definedName name="shubetsu444">新規別紙!$D$456</definedName>
    <definedName name="shubetsu445">新規別紙!$D$457</definedName>
    <definedName name="shubetsu446">新規別紙!$D$458</definedName>
    <definedName name="shubetsu447">新規別紙!$D$459</definedName>
    <definedName name="shubetsu448">新規別紙!$D$460</definedName>
    <definedName name="shubetsu449">新規別紙!$D$461</definedName>
    <definedName name="shubetsu450">新規別紙!$D$462</definedName>
    <definedName name="shubetsu451">新規別紙!$D$463</definedName>
    <definedName name="shubetsu452">新規別紙!$D$464</definedName>
    <definedName name="shubetsu453">新規別紙!$D$465</definedName>
    <definedName name="shubetsu454">新規別紙!$D$466</definedName>
    <definedName name="shubetsu455">新規別紙!$D$467</definedName>
    <definedName name="shubetsu456">新規別紙!$D$468</definedName>
    <definedName name="shubetsu457">新規別紙!$D$469</definedName>
    <definedName name="shubetsu458">新規別紙!$D$470</definedName>
    <definedName name="shubetsu459">新規別紙!$D$471</definedName>
    <definedName name="shubetsu460">新規別紙!$D$472</definedName>
    <definedName name="shubetsu461">新規別紙!$D$473</definedName>
    <definedName name="shubetsu462">新規別紙!$D$474</definedName>
    <definedName name="shubetsu463">新規別紙!$D$475</definedName>
    <definedName name="shubetsu464">新規別紙!$D$476</definedName>
    <definedName name="shubetsu465">新規別紙!$D$477</definedName>
    <definedName name="shubetsu466">新規別紙!$D$478</definedName>
    <definedName name="shubetsu467">新規別紙!$D$479</definedName>
    <definedName name="shubetsu468">新規別紙!$D$480</definedName>
    <definedName name="shubetsu469">新規別紙!$D$481</definedName>
    <definedName name="shubetsu470">新規別紙!$D$482</definedName>
    <definedName name="shubetsu471">新規別紙!$D$483</definedName>
    <definedName name="shubetsu472">新規別紙!$D$484</definedName>
    <definedName name="shubetsu473">新規別紙!$D$485</definedName>
    <definedName name="shubetsu474">新規別紙!$D$486</definedName>
    <definedName name="shubetsu475">新規別紙!$D$487</definedName>
    <definedName name="shubetsu476">新規別紙!$D$488</definedName>
    <definedName name="shubetsu477">新規別紙!$D$489</definedName>
    <definedName name="shubetsu478">新規別紙!$D$490</definedName>
    <definedName name="shubetsu479">新規別紙!$D$491</definedName>
    <definedName name="shubetsu480">新規別紙!$D$492</definedName>
    <definedName name="shubetsu481">新規別紙!$D$493</definedName>
    <definedName name="shubetsu482">新規別紙!$D$494</definedName>
    <definedName name="shubetsu483">新規別紙!$D$495</definedName>
    <definedName name="shubetsu484">新規別紙!$D$496</definedName>
    <definedName name="shubetsu485">新規別紙!$D$497</definedName>
    <definedName name="shubetsu486">新規別紙!$D$498</definedName>
    <definedName name="shubetsu487">新規別紙!$D$499</definedName>
    <definedName name="shubetsu488">新規別紙!$D$500</definedName>
    <definedName name="shubetsu489">新規別紙!$D$501</definedName>
    <definedName name="shubetsu490">新規別紙!$D$502</definedName>
    <definedName name="shubetsu491">新規別紙!$D$503</definedName>
    <definedName name="shubetsu492">新規別紙!$D$504</definedName>
    <definedName name="shubetsu493">新規別紙!$D$505</definedName>
    <definedName name="shubetsu494">新規別紙!$D$506</definedName>
    <definedName name="shubetsu495">新規別紙!$D$507</definedName>
    <definedName name="shubetsu496">新規別紙!$D$508</definedName>
    <definedName name="shubetsu497">新規別紙!$D$509</definedName>
    <definedName name="shubetsu498">新規別紙!$D$510</definedName>
    <definedName name="shubetsu499">新規別紙!$D$511</definedName>
    <definedName name="shubetsu500">新規別紙!$D$512</definedName>
    <definedName name="shutoku001">新規別紙!$M$13</definedName>
    <definedName name="shutoku002">新規別紙!$M$14</definedName>
    <definedName name="shutoku003">新規別紙!$M$15</definedName>
    <definedName name="shutoku004">新規別紙!$M$16</definedName>
    <definedName name="shutoku005">新規別紙!$M$17</definedName>
    <definedName name="shutoku006">新規別紙!$M$18</definedName>
    <definedName name="shutoku007">新規別紙!$M$19</definedName>
    <definedName name="shutoku008">新規別紙!$M$20</definedName>
    <definedName name="shutoku009">新規別紙!$M$21</definedName>
    <definedName name="shutoku010">新規別紙!$M$22</definedName>
    <definedName name="shutoku011">新規別紙!$M$23</definedName>
    <definedName name="shutoku012">新規別紙!$M$24</definedName>
    <definedName name="shutoku013">新規別紙!$M$25</definedName>
    <definedName name="shutoku014">新規別紙!$M$26</definedName>
    <definedName name="shutoku015">新規別紙!$M$27</definedName>
    <definedName name="shutoku016">新規別紙!$M$28</definedName>
    <definedName name="shutoku017">新規別紙!$M$29</definedName>
    <definedName name="shutoku018">新規別紙!$M$30</definedName>
    <definedName name="shutoku019">新規別紙!$M$31</definedName>
    <definedName name="shutoku020">新規別紙!$M$32</definedName>
    <definedName name="shutoku021">新規別紙!$M$33</definedName>
    <definedName name="shutoku022">新規別紙!$M$34</definedName>
    <definedName name="shutoku023">新規別紙!$M$35</definedName>
    <definedName name="shutoku024">新規別紙!$M$36</definedName>
    <definedName name="shutoku025">新規別紙!$M$37</definedName>
    <definedName name="shutoku026">新規別紙!$M$38</definedName>
    <definedName name="shutoku027">新規別紙!$M$39</definedName>
    <definedName name="shutoku028">新規別紙!$M$40</definedName>
    <definedName name="shutoku029">新規別紙!$M$41</definedName>
    <definedName name="shutoku030">新規別紙!$M$42</definedName>
    <definedName name="shutoku031">新規別紙!$M$43</definedName>
    <definedName name="shutoku032">新規別紙!$M$44</definedName>
    <definedName name="shutoku033">新規別紙!$M$45</definedName>
    <definedName name="shutoku034">新規別紙!$M$46</definedName>
    <definedName name="shutoku035">新規別紙!$M$47</definedName>
    <definedName name="shutoku036">新規別紙!$M$48</definedName>
    <definedName name="shutoku037">新規別紙!$M$49</definedName>
    <definedName name="shutoku038">新規別紙!$M$50</definedName>
    <definedName name="shutoku039">新規別紙!$M$51</definedName>
    <definedName name="shutoku040">新規別紙!$M$52</definedName>
    <definedName name="shutoku041">新規別紙!$M$53</definedName>
    <definedName name="shutoku042">新規別紙!$M$54</definedName>
    <definedName name="shutoku043">新規別紙!$M$55</definedName>
    <definedName name="shutoku044">新規別紙!$M$56</definedName>
    <definedName name="shutoku045">新規別紙!$M$57</definedName>
    <definedName name="shutoku046">新規別紙!$M$58</definedName>
    <definedName name="shutoku047">新規別紙!$M$59</definedName>
    <definedName name="shutoku048">新規別紙!$M$60</definedName>
    <definedName name="shutoku049">新規別紙!$M$61</definedName>
    <definedName name="shutoku050">新規別紙!$M$62</definedName>
    <definedName name="shutoku051">新規別紙!$M$63</definedName>
    <definedName name="shutoku052">新規別紙!$M$64</definedName>
    <definedName name="shutoku053">新規別紙!$M$65</definedName>
    <definedName name="shutoku054">新規別紙!$M$66</definedName>
    <definedName name="shutoku055">新規別紙!$M$67</definedName>
    <definedName name="shutoku056">新規別紙!$M$68</definedName>
    <definedName name="shutoku057">新規別紙!$M$69</definedName>
    <definedName name="shutoku058">新規別紙!$M$70</definedName>
    <definedName name="shutoku059">新規別紙!$M$71</definedName>
    <definedName name="shutoku060">新規別紙!$M$72</definedName>
    <definedName name="shutoku061">新規別紙!$M$73</definedName>
    <definedName name="shutoku062">新規別紙!$M$74</definedName>
    <definedName name="shutoku063">新規別紙!$M$75</definedName>
    <definedName name="shutoku064">新規別紙!$M$76</definedName>
    <definedName name="shutoku065">新規別紙!$M$77</definedName>
    <definedName name="shutoku066">新規別紙!$M$78</definedName>
    <definedName name="shutoku067">新規別紙!$M$79</definedName>
    <definedName name="shutoku068">新規別紙!$M$80</definedName>
    <definedName name="shutoku069">新規別紙!$M$81</definedName>
    <definedName name="shutoku070">新規別紙!$M$82</definedName>
    <definedName name="shutoku071">新規別紙!$M$83</definedName>
    <definedName name="shutoku072">新規別紙!$M$84</definedName>
    <definedName name="shutoku073">新規別紙!$M$85</definedName>
    <definedName name="shutoku074">新規別紙!$M$86</definedName>
    <definedName name="shutoku075">新規別紙!$M$87</definedName>
    <definedName name="shutoku076">新規別紙!$M$88</definedName>
    <definedName name="shutoku077">新規別紙!$M$89</definedName>
    <definedName name="shutoku078">新規別紙!$M$90</definedName>
    <definedName name="shutoku079">新規別紙!$M$91</definedName>
    <definedName name="shutoku080">新規別紙!$M$92</definedName>
    <definedName name="shutoku081">新規別紙!$M$93</definedName>
    <definedName name="shutoku082">新規別紙!$M$94</definedName>
    <definedName name="shutoku083">新規別紙!$M$95</definedName>
    <definedName name="shutoku084">新規別紙!$M$96</definedName>
    <definedName name="shutoku085">新規別紙!$M$97</definedName>
    <definedName name="shutoku086">新規別紙!$M$98</definedName>
    <definedName name="shutoku087">新規別紙!$M$99</definedName>
    <definedName name="shutoku088">新規別紙!$M$100</definedName>
    <definedName name="shutoku089">新規別紙!$M$101</definedName>
    <definedName name="shutoku090">新規別紙!$M$102</definedName>
    <definedName name="shutoku091">新規別紙!$M$103</definedName>
    <definedName name="shutoku092">新規別紙!$M$104</definedName>
    <definedName name="shutoku093">新規別紙!$M$105</definedName>
    <definedName name="shutoku094">新規別紙!$M$106</definedName>
    <definedName name="shutoku095">新規別紙!$M$107</definedName>
    <definedName name="shutoku096">新規別紙!$M$108</definedName>
    <definedName name="shutoku097">新規別紙!$M$109</definedName>
    <definedName name="shutoku098">新規別紙!$M$110</definedName>
    <definedName name="shutoku099">新規別紙!$M$111</definedName>
    <definedName name="shutoku100">新規別紙!$M$112</definedName>
    <definedName name="shutoku101">新規別紙!$M$113</definedName>
    <definedName name="shutoku102">新規別紙!$M$114</definedName>
    <definedName name="shutoku103">新規別紙!$M$115</definedName>
    <definedName name="shutoku104">新規別紙!$M$116</definedName>
    <definedName name="shutoku105">新規別紙!$M$117</definedName>
    <definedName name="shutoku106">新規別紙!$M$118</definedName>
    <definedName name="shutoku107">新規別紙!$M$119</definedName>
    <definedName name="shutoku108">新規別紙!$M$120</definedName>
    <definedName name="shutoku109">新規別紙!$M$121</definedName>
    <definedName name="shutoku110">新規別紙!$M$122</definedName>
    <definedName name="shutoku111">新規別紙!$M$123</definedName>
    <definedName name="shutoku112">新規別紙!$M$124</definedName>
    <definedName name="shutoku113">新規別紙!$M$125</definedName>
    <definedName name="shutoku114">新規別紙!$M$126</definedName>
    <definedName name="shutoku115">新規別紙!$M$127</definedName>
    <definedName name="shutoku116">新規別紙!$M$128</definedName>
    <definedName name="shutoku117">新規別紙!$M$129</definedName>
    <definedName name="shutoku118">新規別紙!$M$130</definedName>
    <definedName name="shutoku119">新規別紙!$M$131</definedName>
    <definedName name="shutoku120">新規別紙!$M$132</definedName>
    <definedName name="shutoku121">新規別紙!$M$133</definedName>
    <definedName name="shutoku122">新規別紙!$M$134</definedName>
    <definedName name="shutoku123">新規別紙!$M$135</definedName>
    <definedName name="shutoku124">新規別紙!$M$136</definedName>
    <definedName name="shutoku125">新規別紙!$M$137</definedName>
    <definedName name="shutoku126">新規別紙!$M$138</definedName>
    <definedName name="shutoku127">新規別紙!$M$139</definedName>
    <definedName name="shutoku128">新規別紙!$M$140</definedName>
    <definedName name="shutoku129">新規別紙!$M$141</definedName>
    <definedName name="shutoku130">新規別紙!$M$142</definedName>
    <definedName name="shutoku131">新規別紙!$M$143</definedName>
    <definedName name="shutoku132">新規別紙!$M$144</definedName>
    <definedName name="shutoku133">新規別紙!$M$145</definedName>
    <definedName name="shutoku134">新規別紙!$M$146</definedName>
    <definedName name="shutoku135">新規別紙!$M$147</definedName>
    <definedName name="shutoku136">新規別紙!$M$148</definedName>
    <definedName name="shutoku137">新規別紙!$M$149</definedName>
    <definedName name="shutoku138">新規別紙!$M$150</definedName>
    <definedName name="shutoku139">新規別紙!$M$151</definedName>
    <definedName name="shutoku140">新規別紙!$M$152</definedName>
    <definedName name="shutoku141">新規別紙!$M$153</definedName>
    <definedName name="shutoku142">新規別紙!$M$154</definedName>
    <definedName name="shutoku143">新規別紙!$M$155</definedName>
    <definedName name="shutoku144">新規別紙!$M$156</definedName>
    <definedName name="shutoku145">新規別紙!$M$157</definedName>
    <definedName name="shutoku146">新規別紙!$M$158</definedName>
    <definedName name="shutoku147">新規別紙!$M$159</definedName>
    <definedName name="shutoku148">新規別紙!$M$160</definedName>
    <definedName name="shutoku149">新規別紙!$M$161</definedName>
    <definedName name="shutoku150">新規別紙!$M$162</definedName>
    <definedName name="shutoku151">新規別紙!$M$163</definedName>
    <definedName name="shutoku152">新規別紙!$M$164</definedName>
    <definedName name="shutoku153">新規別紙!$M$165</definedName>
    <definedName name="shutoku154">新規別紙!$M$166</definedName>
    <definedName name="shutoku155">新規別紙!$M$167</definedName>
    <definedName name="shutoku156">新規別紙!$M$168</definedName>
    <definedName name="shutoku157">新規別紙!$M$169</definedName>
    <definedName name="shutoku158">新規別紙!$M$170</definedName>
    <definedName name="shutoku159">新規別紙!$M$171</definedName>
    <definedName name="shutoku160">新規別紙!$M$172</definedName>
    <definedName name="shutoku161">新規別紙!$M$173</definedName>
    <definedName name="shutoku162">新規別紙!$M$174</definedName>
    <definedName name="shutoku163">新規別紙!$M$175</definedName>
    <definedName name="shutoku164">新規別紙!$M$176</definedName>
    <definedName name="shutoku165">新規別紙!$M$177</definedName>
    <definedName name="shutoku166">新規別紙!$M$178</definedName>
    <definedName name="shutoku167">新規別紙!$M$179</definedName>
    <definedName name="shutoku168">新規別紙!$M$180</definedName>
    <definedName name="shutoku169">新規別紙!$M$181</definedName>
    <definedName name="shutoku170">新規別紙!$M$182</definedName>
    <definedName name="shutoku171">新規別紙!$M$183</definedName>
    <definedName name="shutoku172">新規別紙!$M$184</definedName>
    <definedName name="shutoku173">新規別紙!$M$185</definedName>
    <definedName name="shutoku174">新規別紙!$M$186</definedName>
    <definedName name="shutoku175">新規別紙!$M$187</definedName>
    <definedName name="shutoku176">新規別紙!$M$188</definedName>
    <definedName name="shutoku177">新規別紙!$M$189</definedName>
    <definedName name="shutoku178">新規別紙!$M$190</definedName>
    <definedName name="shutoku179">新規別紙!$M$191</definedName>
    <definedName name="shutoku180">新規別紙!$M$192</definedName>
    <definedName name="shutoku181">新規別紙!$M$193</definedName>
    <definedName name="shutoku182">新規別紙!$M$194</definedName>
    <definedName name="shutoku183">新規別紙!$M$195</definedName>
    <definedName name="shutoku184">新規別紙!$M$196</definedName>
    <definedName name="shutoku185">新規別紙!$M$197</definedName>
    <definedName name="shutoku186">新規別紙!$M$198</definedName>
    <definedName name="shutoku187">新規別紙!$M$199</definedName>
    <definedName name="shutoku188">新規別紙!$M$200</definedName>
    <definedName name="shutoku189">新規別紙!$M$201</definedName>
    <definedName name="shutoku190">新規別紙!$M$202</definedName>
    <definedName name="shutoku191">新規別紙!$M$203</definedName>
    <definedName name="shutoku192">新規別紙!$M$204</definedName>
    <definedName name="shutoku193">新規別紙!$M$205</definedName>
    <definedName name="shutoku194">新規別紙!$M$206</definedName>
    <definedName name="shutoku195">新規別紙!$M$207</definedName>
    <definedName name="shutoku196">新規別紙!$M$208</definedName>
    <definedName name="shutoku197">新規別紙!$M$209</definedName>
    <definedName name="shutoku198">新規別紙!$M$210</definedName>
    <definedName name="shutoku199">新規別紙!$M$211</definedName>
    <definedName name="shutoku200">新規別紙!$M$212</definedName>
    <definedName name="shutoku201">新規別紙!$M$213</definedName>
    <definedName name="shutoku202">新規別紙!$M$214</definedName>
    <definedName name="shutoku203">新規別紙!$M$215</definedName>
    <definedName name="shutoku204">新規別紙!$M$216</definedName>
    <definedName name="shutoku205">新規別紙!$M$217</definedName>
    <definedName name="shutoku206">新規別紙!$M$218</definedName>
    <definedName name="shutoku207">新規別紙!$M$219</definedName>
    <definedName name="shutoku208">新規別紙!$M$220</definedName>
    <definedName name="shutoku209">新規別紙!$M$221</definedName>
    <definedName name="shutoku210">新規別紙!$M$222</definedName>
    <definedName name="shutoku211">新規別紙!$M$223</definedName>
    <definedName name="shutoku212">新規別紙!$M$224</definedName>
    <definedName name="shutoku213">新規別紙!$M$225</definedName>
    <definedName name="shutoku214">新規別紙!$M$226</definedName>
    <definedName name="shutoku215">新規別紙!$M$227</definedName>
    <definedName name="shutoku216">新規別紙!$M$228</definedName>
    <definedName name="shutoku217">新規別紙!$M$229</definedName>
    <definedName name="shutoku218">新規別紙!$M$230</definedName>
    <definedName name="shutoku219">新規別紙!$M$231</definedName>
    <definedName name="shutoku220">新規別紙!$M$232</definedName>
    <definedName name="shutoku221">新規別紙!$M$233</definedName>
    <definedName name="shutoku222">新規別紙!$M$234</definedName>
    <definedName name="shutoku223">新規別紙!$M$235</definedName>
    <definedName name="shutoku224">新規別紙!$M$236</definedName>
    <definedName name="shutoku225">新規別紙!$M$237</definedName>
    <definedName name="shutoku226">新規別紙!$M$238</definedName>
    <definedName name="shutoku227">新規別紙!$M$239</definedName>
    <definedName name="shutoku228">新規別紙!$M$240</definedName>
    <definedName name="shutoku229">新規別紙!$M$241</definedName>
    <definedName name="shutoku230">新規別紙!$M$242</definedName>
    <definedName name="shutoku231">新規別紙!$M$243</definedName>
    <definedName name="shutoku232">新規別紙!$M$244</definedName>
    <definedName name="shutoku233">新規別紙!$M$245</definedName>
    <definedName name="shutoku234">新規別紙!$M$246</definedName>
    <definedName name="shutoku235">新規別紙!$M$247</definedName>
    <definedName name="shutoku236">新規別紙!$M$248</definedName>
    <definedName name="shutoku237">新規別紙!$M$249</definedName>
    <definedName name="shutoku238">新規別紙!$M$250</definedName>
    <definedName name="shutoku239">新規別紙!$M$251</definedName>
    <definedName name="shutoku240">新規別紙!$M$252</definedName>
    <definedName name="shutoku241">新規別紙!$M$253</definedName>
    <definedName name="shutoku242">新規別紙!$M$254</definedName>
    <definedName name="shutoku243">新規別紙!$M$255</definedName>
    <definedName name="shutoku244">新規別紙!$M$256</definedName>
    <definedName name="shutoku245">新規別紙!$M$257</definedName>
    <definedName name="shutoku246">新規別紙!$M$258</definedName>
    <definedName name="shutoku247">新規別紙!$M$259</definedName>
    <definedName name="shutoku248">新規別紙!$M$260</definedName>
    <definedName name="shutoku249">新規別紙!$M$261</definedName>
    <definedName name="shutoku250">新規別紙!$M$262</definedName>
    <definedName name="shutoku251">新規別紙!$M$263</definedName>
    <definedName name="shutoku252">新規別紙!$M$264</definedName>
    <definedName name="shutoku253">新規別紙!$M$265</definedName>
    <definedName name="shutoku254">新規別紙!$M$266</definedName>
    <definedName name="shutoku255">新規別紙!$M$267</definedName>
    <definedName name="shutoku256">新規別紙!$M$268</definedName>
    <definedName name="shutoku257">新規別紙!$M$269</definedName>
    <definedName name="shutoku258">新規別紙!$M$270</definedName>
    <definedName name="shutoku259">新規別紙!$M$271</definedName>
    <definedName name="shutoku260">新規別紙!$M$272</definedName>
    <definedName name="shutoku261">新規別紙!$M$273</definedName>
    <definedName name="shutoku262">新規別紙!$M$274</definedName>
    <definedName name="shutoku263">新規別紙!$M$275</definedName>
    <definedName name="shutoku264">新規別紙!$M$276</definedName>
    <definedName name="shutoku265">新規別紙!$M$277</definedName>
    <definedName name="shutoku266">新規別紙!$M$278</definedName>
    <definedName name="shutoku267">新規別紙!$M$279</definedName>
    <definedName name="shutoku268">新規別紙!$M$280</definedName>
    <definedName name="shutoku269">新規別紙!$M$281</definedName>
    <definedName name="shutoku270">新規別紙!$M$282</definedName>
    <definedName name="shutoku271">新規別紙!$M$283</definedName>
    <definedName name="shutoku272">新規別紙!$M$284</definedName>
    <definedName name="shutoku273">新規別紙!$M$285</definedName>
    <definedName name="shutoku274">新規別紙!$M$286</definedName>
    <definedName name="shutoku275">新規別紙!$M$287</definedName>
    <definedName name="shutoku276">新規別紙!$M$288</definedName>
    <definedName name="shutoku277">新規別紙!$M$289</definedName>
    <definedName name="shutoku278">新規別紙!$M$290</definedName>
    <definedName name="shutoku279">新規別紙!$M$291</definedName>
    <definedName name="shutoku280">新規別紙!$M$292</definedName>
    <definedName name="shutoku281">新規別紙!$M$293</definedName>
    <definedName name="shutoku282">新規別紙!$M$294</definedName>
    <definedName name="shutoku283">新規別紙!$M$295</definedName>
    <definedName name="shutoku284">新規別紙!$M$296</definedName>
    <definedName name="shutoku285">新規別紙!$M$297</definedName>
    <definedName name="shutoku286">新規別紙!$M$298</definedName>
    <definedName name="shutoku287">新規別紙!$M$299</definedName>
    <definedName name="shutoku288">新規別紙!$M$300</definedName>
    <definedName name="shutoku289">新規別紙!$M$301</definedName>
    <definedName name="shutoku290">新規別紙!$M$302</definedName>
    <definedName name="shutoku291">新規別紙!$M$303</definedName>
    <definedName name="shutoku292">新規別紙!$M$304</definedName>
    <definedName name="shutoku293">新規別紙!$M$305</definedName>
    <definedName name="shutoku294">新規別紙!$M$306</definedName>
    <definedName name="shutoku295">新規別紙!$M$307</definedName>
    <definedName name="shutoku296">新規別紙!$M$308</definedName>
    <definedName name="shutoku297">新規別紙!$M$309</definedName>
    <definedName name="shutoku298">新規別紙!$M$310</definedName>
    <definedName name="shutoku299">新規別紙!$M$311</definedName>
    <definedName name="shutoku300">新規別紙!$M$312</definedName>
    <definedName name="shutoku301">新規別紙!$M$313</definedName>
    <definedName name="shutoku302">新規別紙!$M$314</definedName>
    <definedName name="shutoku303">新規別紙!$M$315</definedName>
    <definedName name="shutoku304">新規別紙!$M$316</definedName>
    <definedName name="shutoku305">新規別紙!$M$317</definedName>
    <definedName name="shutoku306">新規別紙!$M$318</definedName>
    <definedName name="shutoku307">新規別紙!$M$319</definedName>
    <definedName name="shutoku308">新規別紙!$M$320</definedName>
    <definedName name="shutoku309">新規別紙!$M$321</definedName>
    <definedName name="shutoku310">新規別紙!$M$322</definedName>
    <definedName name="shutoku311">新規別紙!$M$323</definedName>
    <definedName name="shutoku312">新規別紙!$M$324</definedName>
    <definedName name="shutoku313">新規別紙!$M$325</definedName>
    <definedName name="shutoku314">新規別紙!$M$326</definedName>
    <definedName name="shutoku315">新規別紙!$M$327</definedName>
    <definedName name="shutoku316">新規別紙!$M$328</definedName>
    <definedName name="shutoku317">新規別紙!$M$329</definedName>
    <definedName name="shutoku318">新規別紙!$M$330</definedName>
    <definedName name="shutoku319">新規別紙!$M$331</definedName>
    <definedName name="shutoku320">新規別紙!$M$332</definedName>
    <definedName name="shutoku321">新規別紙!$M$333</definedName>
    <definedName name="shutoku322">新規別紙!$M$334</definedName>
    <definedName name="shutoku323">新規別紙!$M$335</definedName>
    <definedName name="shutoku324">新規別紙!$M$336</definedName>
    <definedName name="shutoku325">新規別紙!$M$337</definedName>
    <definedName name="shutoku326">新規別紙!$M$338</definedName>
    <definedName name="shutoku327">新規別紙!$M$339</definedName>
    <definedName name="shutoku328">新規別紙!$M$340</definedName>
    <definedName name="shutoku329">新規別紙!$M$341</definedName>
    <definedName name="shutoku330">新規別紙!$M$342</definedName>
    <definedName name="shutoku331">新規別紙!$M$343</definedName>
    <definedName name="shutoku332">新規別紙!$M$344</definedName>
    <definedName name="shutoku333">新規別紙!$M$345</definedName>
    <definedName name="shutoku334">新規別紙!$M$346</definedName>
    <definedName name="shutoku335">新規別紙!$M$347</definedName>
    <definedName name="shutoku336">新規別紙!$M$348</definedName>
    <definedName name="shutoku337">新規別紙!$M$349</definedName>
    <definedName name="shutoku338">新規別紙!$M$350</definedName>
    <definedName name="shutoku339">新規別紙!$M$351</definedName>
    <definedName name="shutoku340">新規別紙!$M$352</definedName>
    <definedName name="shutoku341">新規別紙!$M$353</definedName>
    <definedName name="shutoku342">新規別紙!$M$354</definedName>
    <definedName name="shutoku343">新規別紙!$M$355</definedName>
    <definedName name="shutoku344">新規別紙!$M$356</definedName>
    <definedName name="shutoku345">新規別紙!$M$357</definedName>
    <definedName name="shutoku346">新規別紙!$M$358</definedName>
    <definedName name="shutoku347">新規別紙!$M$359</definedName>
    <definedName name="shutoku348">新規別紙!$M$360</definedName>
    <definedName name="shutoku349">新規別紙!$M$361</definedName>
    <definedName name="shutoku350">新規別紙!$M$362</definedName>
    <definedName name="shutoku351">新規別紙!$M$363</definedName>
    <definedName name="shutoku352">新規別紙!$M$364</definedName>
    <definedName name="shutoku353">新規別紙!$M$365</definedName>
    <definedName name="shutoku354">新規別紙!$M$366</definedName>
    <definedName name="shutoku355">新規別紙!$M$367</definedName>
    <definedName name="shutoku356">新規別紙!$M$368</definedName>
    <definedName name="shutoku357">新規別紙!$M$369</definedName>
    <definedName name="shutoku358">新規別紙!$M$370</definedName>
    <definedName name="shutoku359">新規別紙!$M$371</definedName>
    <definedName name="shutoku360">新規別紙!$M$372</definedName>
    <definedName name="shutoku361">新規別紙!$M$373</definedName>
    <definedName name="shutoku362">新規別紙!$M$374</definedName>
    <definedName name="shutoku363">新規別紙!$M$375</definedName>
    <definedName name="shutoku364">新規別紙!$M$376</definedName>
    <definedName name="shutoku365">新規別紙!$M$377</definedName>
    <definedName name="shutoku366">新規別紙!$M$378</definedName>
    <definedName name="shutoku367">新規別紙!$M$379</definedName>
    <definedName name="shutoku368">新規別紙!$M$380</definedName>
    <definedName name="shutoku369">新規別紙!$M$381</definedName>
    <definedName name="shutoku370">新規別紙!$M$382</definedName>
    <definedName name="shutoku371">新規別紙!$M$383</definedName>
    <definedName name="shutoku372">新規別紙!$M$384</definedName>
    <definedName name="shutoku373">新規別紙!$M$385</definedName>
    <definedName name="shutoku374">新規別紙!$M$386</definedName>
    <definedName name="shutoku375">新規別紙!$M$387</definedName>
    <definedName name="shutoku376">新規別紙!$M$388</definedName>
    <definedName name="shutoku377">新規別紙!$M$389</definedName>
    <definedName name="shutoku378">新規別紙!$M$390</definedName>
    <definedName name="shutoku379">新規別紙!$M$391</definedName>
    <definedName name="shutoku380">新規別紙!$M$392</definedName>
    <definedName name="shutoku381">新規別紙!$M$393</definedName>
    <definedName name="shutoku382">新規別紙!$M$394</definedName>
    <definedName name="shutoku383">新規別紙!$M$395</definedName>
    <definedName name="shutoku384">新規別紙!$M$396</definedName>
    <definedName name="shutoku385">新規別紙!$M$397</definedName>
    <definedName name="shutoku386">新規別紙!$M$398</definedName>
    <definedName name="shutoku387">新規別紙!$M$399</definedName>
    <definedName name="shutoku388">新規別紙!$M$400</definedName>
    <definedName name="shutoku389">新規別紙!$M$401</definedName>
    <definedName name="shutoku390">新規別紙!$M$402</definedName>
    <definedName name="shutoku391">新規別紙!$M$403</definedName>
    <definedName name="shutoku392">新規別紙!$M$404</definedName>
    <definedName name="shutoku393">新規別紙!$M$405</definedName>
    <definedName name="shutoku394">新規別紙!$M$406</definedName>
    <definedName name="shutoku395">新規別紙!$M$407</definedName>
    <definedName name="shutoku396">新規別紙!$M$408</definedName>
    <definedName name="shutoku397">新規別紙!$M$409</definedName>
    <definedName name="shutoku398">新規別紙!$M$410</definedName>
    <definedName name="shutoku399">新規別紙!$M$411</definedName>
    <definedName name="shutoku400">新規別紙!$M$412</definedName>
    <definedName name="shutoku401">新規別紙!$M$413</definedName>
    <definedName name="shutoku402">新規別紙!$M$414</definedName>
    <definedName name="shutoku403">新規別紙!$M$415</definedName>
    <definedName name="shutoku404">新規別紙!$M$416</definedName>
    <definedName name="shutoku405">新規別紙!$M$417</definedName>
    <definedName name="shutoku406">新規別紙!$M$418</definedName>
    <definedName name="shutoku407">新規別紙!$M$419</definedName>
    <definedName name="shutoku408">新規別紙!$M$420</definedName>
    <definedName name="shutoku409">新規別紙!$M$421</definedName>
    <definedName name="shutoku410">新規別紙!$M$422</definedName>
    <definedName name="shutoku411">新規別紙!$M$423</definedName>
    <definedName name="shutoku412">新規別紙!$M$424</definedName>
    <definedName name="shutoku413">新規別紙!$M$425</definedName>
    <definedName name="shutoku414">新規別紙!$M$426</definedName>
    <definedName name="shutoku415">新規別紙!$M$427</definedName>
    <definedName name="shutoku416">新規別紙!$M$428</definedName>
    <definedName name="shutoku417">新規別紙!$M$429</definedName>
    <definedName name="shutoku418">新規別紙!$M$430</definedName>
    <definedName name="shutoku419">新規別紙!$M$431</definedName>
    <definedName name="shutoku420">新規別紙!$M$432</definedName>
    <definedName name="shutoku421">新規別紙!$M$433</definedName>
    <definedName name="shutoku422">新規別紙!$M$434</definedName>
    <definedName name="shutoku423">新規別紙!$M$435</definedName>
    <definedName name="shutoku424">新規別紙!$M$436</definedName>
    <definedName name="shutoku425">新規別紙!$M$437</definedName>
    <definedName name="shutoku426">新規別紙!$M$438</definedName>
    <definedName name="shutoku427">新規別紙!$M$439</definedName>
    <definedName name="shutoku428">新規別紙!$M$440</definedName>
    <definedName name="shutoku429">新規別紙!$M$441</definedName>
    <definedName name="shutoku430">新規別紙!$M$442</definedName>
    <definedName name="shutoku431">新規別紙!$M$443</definedName>
    <definedName name="shutoku432">新規別紙!$M$444</definedName>
    <definedName name="shutoku433">新規別紙!$M$445</definedName>
    <definedName name="shutoku434">新規別紙!$M$446</definedName>
    <definedName name="shutoku435">新規別紙!$M$447</definedName>
    <definedName name="shutoku436">新規別紙!$M$448</definedName>
    <definedName name="shutoku437">新規別紙!$M$449</definedName>
    <definedName name="shutoku438">新規別紙!$M$450</definedName>
    <definedName name="shutoku439">新規別紙!$M$451</definedName>
    <definedName name="shutoku440">新規別紙!$M$452</definedName>
    <definedName name="shutoku441">新規別紙!$M$453</definedName>
    <definedName name="shutoku442">新規別紙!$M$454</definedName>
    <definedName name="shutoku443">新規別紙!$M$455</definedName>
    <definedName name="shutoku444">新規別紙!$M$456</definedName>
    <definedName name="shutoku445">新規別紙!$M$457</definedName>
    <definedName name="shutoku446">新規別紙!$M$458</definedName>
    <definedName name="shutoku447">新規別紙!$M$459</definedName>
    <definedName name="shutoku448">新規別紙!$M$460</definedName>
    <definedName name="shutoku449">新規別紙!$M$461</definedName>
    <definedName name="shutoku450">新規別紙!$M$462</definedName>
    <definedName name="shutoku451">新規別紙!$M$463</definedName>
    <definedName name="shutoku452">新規別紙!$M$464</definedName>
    <definedName name="shutoku453">新規別紙!$M$465</definedName>
    <definedName name="shutoku454">新規別紙!$M$466</definedName>
    <definedName name="shutoku455">新規別紙!$M$467</definedName>
    <definedName name="shutoku456">新規別紙!$M$468</definedName>
    <definedName name="shutoku457">新規別紙!$M$469</definedName>
    <definedName name="shutoku458">新規別紙!$M$470</definedName>
    <definedName name="shutoku459">新規別紙!$M$471</definedName>
    <definedName name="shutoku460">新規別紙!$M$472</definedName>
    <definedName name="shutoku461">新規別紙!$M$473</definedName>
    <definedName name="shutoku462">新規別紙!$M$474</definedName>
    <definedName name="shutoku463">新規別紙!$M$475</definedName>
    <definedName name="shutoku464">新規別紙!$M$476</definedName>
    <definedName name="shutoku465">新規別紙!$M$477</definedName>
    <definedName name="shutoku466">新規別紙!$M$478</definedName>
    <definedName name="shutoku467">新規別紙!$M$479</definedName>
    <definedName name="shutoku468">新規別紙!$M$480</definedName>
    <definedName name="shutoku469">新規別紙!$M$481</definedName>
    <definedName name="shutoku470">新規別紙!$M$482</definedName>
    <definedName name="shutoku471">新規別紙!$M$483</definedName>
    <definedName name="shutoku472">新規別紙!$M$484</definedName>
    <definedName name="shutoku473">新規別紙!$M$485</definedName>
    <definedName name="shutoku474">新規別紙!$M$486</definedName>
    <definedName name="shutoku475">新規別紙!$M$487</definedName>
    <definedName name="shutoku476">新規別紙!$M$488</definedName>
    <definedName name="shutoku477">新規別紙!$M$489</definedName>
    <definedName name="shutoku478">新規別紙!$M$490</definedName>
    <definedName name="shutoku479">新規別紙!$M$491</definedName>
    <definedName name="shutoku480">新規別紙!$M$492</definedName>
    <definedName name="shutoku481">新規別紙!$M$493</definedName>
    <definedName name="shutoku482">新規別紙!$M$494</definedName>
    <definedName name="shutoku483">新規別紙!$M$495</definedName>
    <definedName name="shutoku484">新規別紙!$M$496</definedName>
    <definedName name="shutoku485">新規別紙!$M$497</definedName>
    <definedName name="shutoku486">新規別紙!$M$498</definedName>
    <definedName name="shutoku487">新規別紙!$M$499</definedName>
    <definedName name="shutoku488">新規別紙!$M$500</definedName>
    <definedName name="shutoku489">新規別紙!$M$501</definedName>
    <definedName name="shutoku490">新規別紙!$M$502</definedName>
    <definedName name="shutoku491">新規別紙!$M$503</definedName>
    <definedName name="shutoku492">新規別紙!$M$504</definedName>
    <definedName name="shutoku493">新規別紙!$M$505</definedName>
    <definedName name="shutoku494">新規別紙!$M$506</definedName>
    <definedName name="shutoku495">新規別紙!$M$507</definedName>
    <definedName name="shutoku496">新規別紙!$M$508</definedName>
    <definedName name="shutoku497">新規別紙!$M$509</definedName>
    <definedName name="shutoku498">新規別紙!$M$510</definedName>
    <definedName name="shutoku499">新規別紙!$M$511</definedName>
    <definedName name="shutoku500">新規別紙!$M$512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3" i="2" l="1"/>
  <c r="Y2" i="2"/>
  <c r="Y1" i="2"/>
  <c r="J9" i="2" a="1"/>
  <c r="C9" i="2" a="1"/>
  <c r="L9" i="2" a="1"/>
  <c r="L9" i="2" l="1"/>
  <c r="J9" i="2"/>
  <c r="C9" i="2"/>
  <c r="B9" i="2"/>
  <c r="N9" i="2" l="1"/>
  <c r="M9" i="2"/>
  <c r="K9" i="2"/>
  <c r="I9" i="2"/>
  <c r="H9" i="2"/>
  <c r="G9" i="2"/>
  <c r="F9" i="2"/>
  <c r="D9"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U9" i="2" l="1"/>
  <c r="X9" i="2"/>
  <c r="W9" i="2"/>
  <c r="V9" i="2"/>
  <c r="T9" i="2"/>
  <c r="P9" i="2" l="1"/>
  <c r="J14" i="2" l="1"/>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210" i="2"/>
  <c r="J211" i="2"/>
  <c r="J212" i="2"/>
  <c r="J213" i="2"/>
  <c r="J214" i="2"/>
  <c r="J215" i="2"/>
  <c r="J216" i="2"/>
  <c r="J217" i="2"/>
  <c r="J218" i="2"/>
  <c r="J219" i="2"/>
  <c r="J220" i="2"/>
  <c r="J221" i="2"/>
  <c r="J222" i="2"/>
  <c r="J223" i="2"/>
  <c r="J224" i="2"/>
  <c r="J225" i="2"/>
  <c r="J226" i="2"/>
  <c r="J227" i="2"/>
  <c r="J228" i="2"/>
  <c r="J229" i="2"/>
  <c r="J230" i="2"/>
  <c r="J231" i="2"/>
  <c r="J232" i="2"/>
  <c r="J233" i="2"/>
  <c r="J234" i="2"/>
  <c r="J235" i="2"/>
  <c r="J236" i="2"/>
  <c r="J237" i="2"/>
  <c r="J238" i="2"/>
  <c r="J239" i="2"/>
  <c r="J240" i="2"/>
  <c r="J241" i="2"/>
  <c r="J242" i="2"/>
  <c r="J243" i="2"/>
  <c r="J244" i="2"/>
  <c r="J245" i="2"/>
  <c r="J246" i="2"/>
  <c r="J247" i="2"/>
  <c r="J248" i="2"/>
  <c r="J249" i="2"/>
  <c r="J250" i="2"/>
  <c r="J251" i="2"/>
  <c r="J252" i="2"/>
  <c r="J253" i="2"/>
  <c r="J254" i="2"/>
  <c r="J255" i="2"/>
  <c r="J256" i="2"/>
  <c r="J257" i="2"/>
  <c r="J258" i="2"/>
  <c r="J259" i="2"/>
  <c r="J260" i="2"/>
  <c r="J261" i="2"/>
  <c r="J262" i="2"/>
  <c r="J263" i="2"/>
  <c r="J264" i="2"/>
  <c r="J265" i="2"/>
  <c r="J266" i="2"/>
  <c r="J267" i="2"/>
  <c r="J268" i="2"/>
  <c r="J269" i="2"/>
  <c r="J270" i="2"/>
  <c r="J271" i="2"/>
  <c r="J272" i="2"/>
  <c r="J273" i="2"/>
  <c r="J274" i="2"/>
  <c r="J275" i="2"/>
  <c r="J276" i="2"/>
  <c r="J277" i="2"/>
  <c r="J278" i="2"/>
  <c r="J279" i="2"/>
  <c r="J280" i="2"/>
  <c r="J281" i="2"/>
  <c r="J282" i="2"/>
  <c r="J283" i="2"/>
  <c r="J284" i="2"/>
  <c r="J285" i="2"/>
  <c r="J286" i="2"/>
  <c r="J287" i="2"/>
  <c r="J288" i="2"/>
  <c r="J289" i="2"/>
  <c r="J290" i="2"/>
  <c r="J291" i="2"/>
  <c r="J292" i="2"/>
  <c r="J293" i="2"/>
  <c r="J294" i="2"/>
  <c r="J295" i="2"/>
  <c r="J296" i="2"/>
  <c r="J297" i="2"/>
  <c r="J298" i="2"/>
  <c r="J299" i="2"/>
  <c r="J300" i="2"/>
  <c r="J301" i="2"/>
  <c r="J302" i="2"/>
  <c r="J303" i="2"/>
  <c r="J304" i="2"/>
  <c r="J305" i="2"/>
  <c r="J306" i="2"/>
  <c r="J307" i="2"/>
  <c r="J308" i="2"/>
  <c r="J309" i="2"/>
  <c r="J310" i="2"/>
  <c r="J311" i="2"/>
  <c r="J312" i="2"/>
  <c r="J313" i="2"/>
  <c r="J314" i="2"/>
  <c r="J315" i="2"/>
  <c r="J316" i="2"/>
  <c r="J317" i="2"/>
  <c r="J318" i="2"/>
  <c r="J319" i="2"/>
  <c r="J320" i="2"/>
  <c r="J321" i="2"/>
  <c r="J322" i="2"/>
  <c r="J323" i="2"/>
  <c r="J324" i="2"/>
  <c r="J325" i="2"/>
  <c r="J326" i="2"/>
  <c r="J327" i="2"/>
  <c r="J328" i="2"/>
  <c r="J329" i="2"/>
  <c r="J330" i="2"/>
  <c r="J331" i="2"/>
  <c r="J332" i="2"/>
  <c r="J333" i="2"/>
  <c r="J334" i="2"/>
  <c r="J335" i="2"/>
  <c r="J336" i="2"/>
  <c r="J337" i="2"/>
  <c r="J338" i="2"/>
  <c r="J339" i="2"/>
  <c r="J340" i="2"/>
  <c r="J341" i="2"/>
  <c r="J342" i="2"/>
  <c r="J343" i="2"/>
  <c r="J344" i="2"/>
  <c r="J345" i="2"/>
  <c r="J346" i="2"/>
  <c r="J347" i="2"/>
  <c r="J348" i="2"/>
  <c r="J349" i="2"/>
  <c r="J350" i="2"/>
  <c r="J351" i="2"/>
  <c r="J352" i="2"/>
  <c r="J353" i="2"/>
  <c r="J354" i="2"/>
  <c r="J355" i="2"/>
  <c r="J356" i="2"/>
  <c r="J357" i="2"/>
  <c r="J358" i="2"/>
  <c r="J359" i="2"/>
  <c r="J360" i="2"/>
  <c r="J361" i="2"/>
  <c r="J362" i="2"/>
  <c r="J363" i="2"/>
  <c r="J364" i="2"/>
  <c r="J365" i="2"/>
  <c r="J366" i="2"/>
  <c r="J367" i="2"/>
  <c r="J368" i="2"/>
  <c r="J369" i="2"/>
  <c r="J370" i="2"/>
  <c r="J371" i="2"/>
  <c r="J372" i="2"/>
  <c r="J373" i="2"/>
  <c r="J374" i="2"/>
  <c r="J375" i="2"/>
  <c r="J376" i="2"/>
  <c r="J377" i="2"/>
  <c r="J378" i="2"/>
  <c r="J379" i="2"/>
  <c r="J380" i="2"/>
  <c r="J381" i="2"/>
  <c r="J382" i="2"/>
  <c r="J383" i="2"/>
  <c r="J384" i="2"/>
  <c r="J385" i="2"/>
  <c r="J386" i="2"/>
  <c r="J387" i="2"/>
  <c r="J388" i="2"/>
  <c r="J389" i="2"/>
  <c r="J390" i="2"/>
  <c r="J391" i="2"/>
  <c r="J392" i="2"/>
  <c r="J393" i="2"/>
  <c r="J394" i="2"/>
  <c r="J395" i="2"/>
  <c r="J396" i="2"/>
  <c r="J397" i="2"/>
  <c r="J398" i="2"/>
  <c r="J399" i="2"/>
  <c r="J400" i="2"/>
  <c r="J401" i="2"/>
  <c r="J402" i="2"/>
  <c r="J403" i="2"/>
  <c r="J404" i="2"/>
  <c r="J405" i="2"/>
  <c r="J406" i="2"/>
  <c r="J407" i="2"/>
  <c r="J408" i="2"/>
  <c r="J409" i="2"/>
  <c r="J410" i="2"/>
  <c r="J411" i="2"/>
  <c r="J412" i="2"/>
  <c r="J413" i="2"/>
  <c r="J414" i="2"/>
  <c r="J415" i="2"/>
  <c r="J416" i="2"/>
  <c r="J417" i="2"/>
  <c r="J418" i="2"/>
  <c r="J419" i="2"/>
  <c r="J420" i="2"/>
  <c r="J421" i="2"/>
  <c r="J422" i="2"/>
  <c r="J423" i="2"/>
  <c r="J424" i="2"/>
  <c r="J425" i="2"/>
  <c r="J426" i="2"/>
  <c r="J427" i="2"/>
  <c r="J428" i="2"/>
  <c r="J429" i="2"/>
  <c r="J430" i="2"/>
  <c r="J431" i="2"/>
  <c r="J432" i="2"/>
  <c r="J433" i="2"/>
  <c r="J434" i="2"/>
  <c r="J435" i="2"/>
  <c r="J436" i="2"/>
  <c r="J437" i="2"/>
  <c r="J438" i="2"/>
  <c r="J439" i="2"/>
  <c r="J440" i="2"/>
  <c r="J441" i="2"/>
  <c r="J442" i="2"/>
  <c r="J443" i="2"/>
  <c r="J444" i="2"/>
  <c r="J445" i="2"/>
  <c r="J446" i="2"/>
  <c r="J447" i="2"/>
  <c r="J448" i="2"/>
  <c r="J449" i="2"/>
  <c r="J450" i="2"/>
  <c r="J451" i="2"/>
  <c r="J452" i="2"/>
  <c r="J453" i="2"/>
  <c r="J454" i="2"/>
  <c r="J455" i="2"/>
  <c r="J456" i="2"/>
  <c r="J457" i="2"/>
  <c r="J458" i="2"/>
  <c r="J459" i="2"/>
  <c r="J460" i="2"/>
  <c r="J461" i="2"/>
  <c r="J462" i="2"/>
  <c r="J463" i="2"/>
  <c r="J464" i="2"/>
  <c r="J465" i="2"/>
  <c r="J466" i="2"/>
  <c r="J467" i="2"/>
  <c r="J468" i="2"/>
  <c r="J469" i="2"/>
  <c r="J470" i="2"/>
  <c r="J471" i="2"/>
  <c r="J472" i="2"/>
  <c r="J473" i="2"/>
  <c r="J474" i="2"/>
  <c r="J475" i="2"/>
  <c r="J476" i="2"/>
  <c r="J477" i="2"/>
  <c r="J478" i="2"/>
  <c r="J479" i="2"/>
  <c r="J480" i="2"/>
  <c r="J481" i="2"/>
  <c r="J482" i="2"/>
  <c r="J483" i="2"/>
  <c r="J484" i="2"/>
  <c r="J485" i="2"/>
  <c r="J486" i="2"/>
  <c r="J487" i="2"/>
  <c r="J488" i="2"/>
  <c r="J489" i="2"/>
  <c r="J490" i="2"/>
  <c r="J491" i="2"/>
  <c r="J492" i="2"/>
  <c r="J493" i="2"/>
  <c r="J494" i="2"/>
  <c r="J495" i="2"/>
  <c r="J496" i="2"/>
  <c r="J497" i="2"/>
  <c r="J498" i="2"/>
  <c r="J499" i="2"/>
  <c r="J500" i="2"/>
  <c r="J501" i="2"/>
  <c r="J502" i="2"/>
  <c r="J503" i="2"/>
  <c r="J504" i="2"/>
  <c r="J505" i="2"/>
  <c r="J506" i="2"/>
  <c r="J507" i="2"/>
  <c r="J508" i="2"/>
  <c r="J509" i="2"/>
  <c r="J510" i="2"/>
  <c r="J511" i="2"/>
  <c r="J512" i="2"/>
  <c r="J5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501" i="2"/>
  <c r="K502" i="2"/>
  <c r="K503" i="2"/>
  <c r="K504" i="2"/>
  <c r="K505" i="2"/>
  <c r="K506" i="2"/>
  <c r="K507" i="2"/>
  <c r="K508" i="2"/>
  <c r="K509" i="2"/>
  <c r="K510" i="2"/>
  <c r="K511" i="2"/>
  <c r="K512" i="2"/>
  <c r="K5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228" i="2"/>
  <c r="I229" i="2"/>
  <c r="I230" i="2"/>
  <c r="I231" i="2"/>
  <c r="I232" i="2"/>
  <c r="I233" i="2"/>
  <c r="I234" i="2"/>
  <c r="I235" i="2"/>
  <c r="I236" i="2"/>
  <c r="I237" i="2"/>
  <c r="I238" i="2"/>
  <c r="I239" i="2"/>
  <c r="I240" i="2"/>
  <c r="I241" i="2"/>
  <c r="I242" i="2"/>
  <c r="I243" i="2"/>
  <c r="I244" i="2"/>
  <c r="I245" i="2"/>
  <c r="I246" i="2"/>
  <c r="I247" i="2"/>
  <c r="I248" i="2"/>
  <c r="I249" i="2"/>
  <c r="I250" i="2"/>
  <c r="I251" i="2"/>
  <c r="I252" i="2"/>
  <c r="I253" i="2"/>
  <c r="I254" i="2"/>
  <c r="I255" i="2"/>
  <c r="I256" i="2"/>
  <c r="I257" i="2"/>
  <c r="I258" i="2"/>
  <c r="I259" i="2"/>
  <c r="I260" i="2"/>
  <c r="I261" i="2"/>
  <c r="I262" i="2"/>
  <c r="I263" i="2"/>
  <c r="I264" i="2"/>
  <c r="I265" i="2"/>
  <c r="I266" i="2"/>
  <c r="I267" i="2"/>
  <c r="I268" i="2"/>
  <c r="I269" i="2"/>
  <c r="I270" i="2"/>
  <c r="I271" i="2"/>
  <c r="I272" i="2"/>
  <c r="I273" i="2"/>
  <c r="I274" i="2"/>
  <c r="I275" i="2"/>
  <c r="I276" i="2"/>
  <c r="I277" i="2"/>
  <c r="I278" i="2"/>
  <c r="I279" i="2"/>
  <c r="I280" i="2"/>
  <c r="I281" i="2"/>
  <c r="I282" i="2"/>
  <c r="I283" i="2"/>
  <c r="I284" i="2"/>
  <c r="I285" i="2"/>
  <c r="I286" i="2"/>
  <c r="I287" i="2"/>
  <c r="I288" i="2"/>
  <c r="I289" i="2"/>
  <c r="I290" i="2"/>
  <c r="I291" i="2"/>
  <c r="I292" i="2"/>
  <c r="I293" i="2"/>
  <c r="I294" i="2"/>
  <c r="I295" i="2"/>
  <c r="I296" i="2"/>
  <c r="I297" i="2"/>
  <c r="I298" i="2"/>
  <c r="I299" i="2"/>
  <c r="I300" i="2"/>
  <c r="I301" i="2"/>
  <c r="I302" i="2"/>
  <c r="I303" i="2"/>
  <c r="I304" i="2"/>
  <c r="I305" i="2"/>
  <c r="I306" i="2"/>
  <c r="I307" i="2"/>
  <c r="I308" i="2"/>
  <c r="I309" i="2"/>
  <c r="I310" i="2"/>
  <c r="I311" i="2"/>
  <c r="I312" i="2"/>
  <c r="I313" i="2"/>
  <c r="I314" i="2"/>
  <c r="I315" i="2"/>
  <c r="I316" i="2"/>
  <c r="I317" i="2"/>
  <c r="I318" i="2"/>
  <c r="I319" i="2"/>
  <c r="I320" i="2"/>
  <c r="I321" i="2"/>
  <c r="I322" i="2"/>
  <c r="I323" i="2"/>
  <c r="I324" i="2"/>
  <c r="I325" i="2"/>
  <c r="I326" i="2"/>
  <c r="I327" i="2"/>
  <c r="I328" i="2"/>
  <c r="I329" i="2"/>
  <c r="I330" i="2"/>
  <c r="I331" i="2"/>
  <c r="I332" i="2"/>
  <c r="I333" i="2"/>
  <c r="I334" i="2"/>
  <c r="I335" i="2"/>
  <c r="I336" i="2"/>
  <c r="I337" i="2"/>
  <c r="I338" i="2"/>
  <c r="I339" i="2"/>
  <c r="I340" i="2"/>
  <c r="I341" i="2"/>
  <c r="I342" i="2"/>
  <c r="I343" i="2"/>
  <c r="I344" i="2"/>
  <c r="I345" i="2"/>
  <c r="I346" i="2"/>
  <c r="I347" i="2"/>
  <c r="I348" i="2"/>
  <c r="I349" i="2"/>
  <c r="I350" i="2"/>
  <c r="I351" i="2"/>
  <c r="I352" i="2"/>
  <c r="I353" i="2"/>
  <c r="I354" i="2"/>
  <c r="I355" i="2"/>
  <c r="I356" i="2"/>
  <c r="I357" i="2"/>
  <c r="I358" i="2"/>
  <c r="I359" i="2"/>
  <c r="I360" i="2"/>
  <c r="I361" i="2"/>
  <c r="I362" i="2"/>
  <c r="I363" i="2"/>
  <c r="I364" i="2"/>
  <c r="I365" i="2"/>
  <c r="I366" i="2"/>
  <c r="I367" i="2"/>
  <c r="I368" i="2"/>
  <c r="I369" i="2"/>
  <c r="I370" i="2"/>
  <c r="I371" i="2"/>
  <c r="I372" i="2"/>
  <c r="I373" i="2"/>
  <c r="I374" i="2"/>
  <c r="I375" i="2"/>
  <c r="I376" i="2"/>
  <c r="I377" i="2"/>
  <c r="I378" i="2"/>
  <c r="I379" i="2"/>
  <c r="I380" i="2"/>
  <c r="I381" i="2"/>
  <c r="I382" i="2"/>
  <c r="I383" i="2"/>
  <c r="I384" i="2"/>
  <c r="I385" i="2"/>
  <c r="I386" i="2"/>
  <c r="I387" i="2"/>
  <c r="I388" i="2"/>
  <c r="I389" i="2"/>
  <c r="I390" i="2"/>
  <c r="I391" i="2"/>
  <c r="I392" i="2"/>
  <c r="I393" i="2"/>
  <c r="I394" i="2"/>
  <c r="I395" i="2"/>
  <c r="I396" i="2"/>
  <c r="I397" i="2"/>
  <c r="I398" i="2"/>
  <c r="I399" i="2"/>
  <c r="I400" i="2"/>
  <c r="I401" i="2"/>
  <c r="I402" i="2"/>
  <c r="I403" i="2"/>
  <c r="I404" i="2"/>
  <c r="I405" i="2"/>
  <c r="I406" i="2"/>
  <c r="I407" i="2"/>
  <c r="I408" i="2"/>
  <c r="I409" i="2"/>
  <c r="I410" i="2"/>
  <c r="I411" i="2"/>
  <c r="I412" i="2"/>
  <c r="I413" i="2"/>
  <c r="I414" i="2"/>
  <c r="I415" i="2"/>
  <c r="I416" i="2"/>
  <c r="I417" i="2"/>
  <c r="I418" i="2"/>
  <c r="I419" i="2"/>
  <c r="I420" i="2"/>
  <c r="I421" i="2"/>
  <c r="I422" i="2"/>
  <c r="I423" i="2"/>
  <c r="I424" i="2"/>
  <c r="I425" i="2"/>
  <c r="I426" i="2"/>
  <c r="I427" i="2"/>
  <c r="I428" i="2"/>
  <c r="I429" i="2"/>
  <c r="I430" i="2"/>
  <c r="I431" i="2"/>
  <c r="I432" i="2"/>
  <c r="I433" i="2"/>
  <c r="I434" i="2"/>
  <c r="I435" i="2"/>
  <c r="I436" i="2"/>
  <c r="I437" i="2"/>
  <c r="I438" i="2"/>
  <c r="I439" i="2"/>
  <c r="I440" i="2"/>
  <c r="I441" i="2"/>
  <c r="I442" i="2"/>
  <c r="I443" i="2"/>
  <c r="I444" i="2"/>
  <c r="I445" i="2"/>
  <c r="I446" i="2"/>
  <c r="I447" i="2"/>
  <c r="I448" i="2"/>
  <c r="I449" i="2"/>
  <c r="I450" i="2"/>
  <c r="I451" i="2"/>
  <c r="I452" i="2"/>
  <c r="I453" i="2"/>
  <c r="I454" i="2"/>
  <c r="I455" i="2"/>
  <c r="I456" i="2"/>
  <c r="I457" i="2"/>
  <c r="I458" i="2"/>
  <c r="I459" i="2"/>
  <c r="I460" i="2"/>
  <c r="I461" i="2"/>
  <c r="I462" i="2"/>
  <c r="I463" i="2"/>
  <c r="I464" i="2"/>
  <c r="I465" i="2"/>
  <c r="I466" i="2"/>
  <c r="I467" i="2"/>
  <c r="I468" i="2"/>
  <c r="I469" i="2"/>
  <c r="I470" i="2"/>
  <c r="I471" i="2"/>
  <c r="I472" i="2"/>
  <c r="I473" i="2"/>
  <c r="I474" i="2"/>
  <c r="I475" i="2"/>
  <c r="I476" i="2"/>
  <c r="I477" i="2"/>
  <c r="I478" i="2"/>
  <c r="I479" i="2"/>
  <c r="I480" i="2"/>
  <c r="I481" i="2"/>
  <c r="I482" i="2"/>
  <c r="I483" i="2"/>
  <c r="I484" i="2"/>
  <c r="I485" i="2"/>
  <c r="I486" i="2"/>
  <c r="I487" i="2"/>
  <c r="I488" i="2"/>
  <c r="I489" i="2"/>
  <c r="I490" i="2"/>
  <c r="I491" i="2"/>
  <c r="I492" i="2"/>
  <c r="I493" i="2"/>
  <c r="I494" i="2"/>
  <c r="I495" i="2"/>
  <c r="I496" i="2"/>
  <c r="I497" i="2"/>
  <c r="I498" i="2"/>
  <c r="I499" i="2"/>
  <c r="I500" i="2"/>
  <c r="I501" i="2"/>
  <c r="I502" i="2"/>
  <c r="I503" i="2"/>
  <c r="I504" i="2"/>
  <c r="I505" i="2"/>
  <c r="I506" i="2"/>
  <c r="I507" i="2"/>
  <c r="I508" i="2"/>
  <c r="I509" i="2"/>
  <c r="I510" i="2"/>
  <c r="I511" i="2"/>
  <c r="I512" i="2"/>
  <c r="I513" i="2"/>
  <c r="D14" i="8" l="1"/>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D119" i="8"/>
  <c r="D120" i="8"/>
  <c r="D121" i="8"/>
  <c r="D122" i="8"/>
  <c r="D123" i="8"/>
  <c r="D124" i="8"/>
  <c r="D125" i="8"/>
  <c r="D126" i="8"/>
  <c r="D127" i="8"/>
  <c r="D128" i="8"/>
  <c r="D129" i="8"/>
  <c r="D130" i="8"/>
  <c r="D131" i="8"/>
  <c r="D132" i="8"/>
  <c r="D133" i="8"/>
  <c r="D134" i="8"/>
  <c r="D135" i="8"/>
  <c r="D136" i="8"/>
  <c r="D137" i="8"/>
  <c r="D138" i="8"/>
  <c r="D139" i="8"/>
  <c r="D140" i="8"/>
  <c r="D141" i="8"/>
  <c r="D142" i="8"/>
  <c r="D143" i="8"/>
  <c r="D144" i="8"/>
  <c r="D145" i="8"/>
  <c r="D146" i="8"/>
  <c r="D147" i="8"/>
  <c r="D148" i="8"/>
  <c r="D149" i="8"/>
  <c r="D150" i="8"/>
  <c r="D151" i="8"/>
  <c r="D152" i="8"/>
  <c r="D153" i="8"/>
  <c r="D154" i="8"/>
  <c r="D155" i="8"/>
  <c r="D156" i="8"/>
  <c r="D157" i="8"/>
  <c r="D158" i="8"/>
  <c r="D159" i="8"/>
  <c r="D160" i="8"/>
  <c r="D161" i="8"/>
  <c r="D162" i="8"/>
  <c r="D163" i="8"/>
  <c r="D164" i="8"/>
  <c r="D165" i="8"/>
  <c r="D166" i="8"/>
  <c r="D167" i="8"/>
  <c r="D168" i="8"/>
  <c r="D169" i="8"/>
  <c r="D170" i="8"/>
  <c r="D171" i="8"/>
  <c r="D172" i="8"/>
  <c r="D173" i="8"/>
  <c r="D174" i="8"/>
  <c r="D175" i="8"/>
  <c r="D176" i="8"/>
  <c r="D177" i="8"/>
  <c r="D178" i="8"/>
  <c r="D179" i="8"/>
  <c r="D180" i="8"/>
  <c r="D181" i="8"/>
  <c r="D182" i="8"/>
  <c r="D183" i="8"/>
  <c r="D184" i="8"/>
  <c r="D185" i="8"/>
  <c r="D186" i="8"/>
  <c r="D187" i="8"/>
  <c r="D188" i="8"/>
  <c r="D189" i="8"/>
  <c r="D190" i="8"/>
  <c r="D191" i="8"/>
  <c r="D192" i="8"/>
  <c r="D193" i="8"/>
  <c r="D194" i="8"/>
  <c r="D195" i="8"/>
  <c r="D196" i="8"/>
  <c r="D197" i="8"/>
  <c r="D198" i="8"/>
  <c r="D199" i="8"/>
  <c r="D200" i="8"/>
  <c r="D201" i="8"/>
  <c r="D202" i="8"/>
  <c r="D203" i="8"/>
  <c r="D204" i="8"/>
  <c r="D205" i="8"/>
  <c r="D206" i="8"/>
  <c r="D207" i="8"/>
  <c r="D208" i="8"/>
  <c r="D209" i="8"/>
  <c r="D210" i="8"/>
  <c r="D211" i="8"/>
  <c r="D212" i="8"/>
  <c r="D213" i="8"/>
  <c r="D214" i="8"/>
  <c r="D215" i="8"/>
  <c r="D216" i="8"/>
  <c r="D217" i="8"/>
  <c r="D218" i="8"/>
  <c r="D219" i="8"/>
  <c r="D220" i="8"/>
  <c r="D221" i="8"/>
  <c r="D222" i="8"/>
  <c r="D223" i="8"/>
  <c r="D224" i="8"/>
  <c r="D225" i="8"/>
  <c r="D226" i="8"/>
  <c r="D227" i="8"/>
  <c r="D228" i="8"/>
  <c r="D229" i="8"/>
  <c r="D230" i="8"/>
  <c r="D231" i="8"/>
  <c r="D232" i="8"/>
  <c r="D233" i="8"/>
  <c r="D234" i="8"/>
  <c r="D235" i="8"/>
  <c r="D236" i="8"/>
  <c r="D237" i="8"/>
  <c r="D238" i="8"/>
  <c r="D239" i="8"/>
  <c r="D240" i="8"/>
  <c r="D241" i="8"/>
  <c r="D242" i="8"/>
  <c r="D243" i="8"/>
  <c r="D244" i="8"/>
  <c r="D245" i="8"/>
  <c r="D246" i="8"/>
  <c r="D247" i="8"/>
  <c r="D248" i="8"/>
  <c r="D249" i="8"/>
  <c r="D250" i="8"/>
  <c r="D251" i="8"/>
  <c r="D252" i="8"/>
  <c r="D253" i="8"/>
  <c r="D254" i="8"/>
  <c r="D255" i="8"/>
  <c r="D256" i="8"/>
  <c r="D257" i="8"/>
  <c r="D258" i="8"/>
  <c r="D259" i="8"/>
  <c r="D260" i="8"/>
  <c r="D261" i="8"/>
  <c r="D262" i="8"/>
  <c r="D263" i="8"/>
  <c r="D264" i="8"/>
  <c r="D265" i="8"/>
  <c r="D266" i="8"/>
  <c r="D267" i="8"/>
  <c r="D268" i="8"/>
  <c r="D269" i="8"/>
  <c r="D270" i="8"/>
  <c r="D271" i="8"/>
  <c r="D272" i="8"/>
  <c r="D273" i="8"/>
  <c r="D274" i="8"/>
  <c r="D275" i="8"/>
  <c r="D276" i="8"/>
  <c r="D277" i="8"/>
  <c r="D278" i="8"/>
  <c r="D279" i="8"/>
  <c r="D280" i="8"/>
  <c r="D281" i="8"/>
  <c r="D282" i="8"/>
  <c r="D283" i="8"/>
  <c r="D284" i="8"/>
  <c r="D285" i="8"/>
  <c r="D286" i="8"/>
  <c r="D287" i="8"/>
  <c r="D288" i="8"/>
  <c r="D289" i="8"/>
  <c r="D290" i="8"/>
  <c r="D291" i="8"/>
  <c r="D292" i="8"/>
  <c r="D293" i="8"/>
  <c r="D294" i="8"/>
  <c r="D295" i="8"/>
  <c r="D296" i="8"/>
  <c r="D297" i="8"/>
  <c r="D298" i="8"/>
  <c r="D299" i="8"/>
  <c r="D300" i="8"/>
  <c r="D301" i="8"/>
  <c r="D302" i="8"/>
  <c r="D303" i="8"/>
  <c r="D304" i="8"/>
  <c r="D305" i="8"/>
  <c r="D306" i="8"/>
  <c r="D307" i="8"/>
  <c r="D308" i="8"/>
  <c r="D309" i="8"/>
  <c r="D310" i="8"/>
  <c r="D311" i="8"/>
  <c r="D312" i="8"/>
  <c r="D313" i="8"/>
  <c r="D314" i="8"/>
  <c r="D315" i="8"/>
  <c r="D316" i="8"/>
  <c r="D317" i="8"/>
  <c r="D318" i="8"/>
  <c r="D319" i="8"/>
  <c r="D320" i="8"/>
  <c r="D321" i="8"/>
  <c r="D322" i="8"/>
  <c r="D323" i="8"/>
  <c r="D324" i="8"/>
  <c r="D325" i="8"/>
  <c r="D326" i="8"/>
  <c r="D327" i="8"/>
  <c r="D328" i="8"/>
  <c r="D329" i="8"/>
  <c r="D330" i="8"/>
  <c r="D331" i="8"/>
  <c r="D332" i="8"/>
  <c r="D333" i="8"/>
  <c r="D334" i="8"/>
  <c r="D335" i="8"/>
  <c r="D336" i="8"/>
  <c r="D337" i="8"/>
  <c r="D338" i="8"/>
  <c r="D339" i="8"/>
  <c r="D340" i="8"/>
  <c r="D341" i="8"/>
  <c r="D342" i="8"/>
  <c r="D343" i="8"/>
  <c r="D344" i="8"/>
  <c r="D345" i="8"/>
  <c r="D346" i="8"/>
  <c r="D347" i="8"/>
  <c r="D348" i="8"/>
  <c r="D349" i="8"/>
  <c r="D350" i="8"/>
  <c r="D351" i="8"/>
  <c r="D352" i="8"/>
  <c r="D353" i="8"/>
  <c r="D354" i="8"/>
  <c r="D355" i="8"/>
  <c r="D356" i="8"/>
  <c r="D357" i="8"/>
  <c r="D358" i="8"/>
  <c r="D359" i="8"/>
  <c r="D360" i="8"/>
  <c r="D361" i="8"/>
  <c r="D362" i="8"/>
  <c r="D363" i="8"/>
  <c r="D364" i="8"/>
  <c r="D365" i="8"/>
  <c r="D366" i="8"/>
  <c r="D367" i="8"/>
  <c r="D368" i="8"/>
  <c r="D369" i="8"/>
  <c r="D370" i="8"/>
  <c r="D371" i="8"/>
  <c r="D372" i="8"/>
  <c r="D373" i="8"/>
  <c r="D374" i="8"/>
  <c r="D375" i="8"/>
  <c r="D376" i="8"/>
  <c r="D377" i="8"/>
  <c r="D378" i="8"/>
  <c r="D379" i="8"/>
  <c r="D380" i="8"/>
  <c r="D381" i="8"/>
  <c r="D382" i="8"/>
  <c r="D383" i="8"/>
  <c r="D384" i="8"/>
  <c r="D385" i="8"/>
  <c r="D386" i="8"/>
  <c r="D387" i="8"/>
  <c r="D388" i="8"/>
  <c r="D389" i="8"/>
  <c r="D390" i="8"/>
  <c r="D391" i="8"/>
  <c r="D392" i="8"/>
  <c r="D393" i="8"/>
  <c r="D394" i="8"/>
  <c r="D395" i="8"/>
  <c r="D396" i="8"/>
  <c r="D397" i="8"/>
  <c r="D398" i="8"/>
  <c r="D399" i="8"/>
  <c r="D400" i="8"/>
  <c r="D401" i="8"/>
  <c r="D402" i="8"/>
  <c r="D403" i="8"/>
  <c r="D404" i="8"/>
  <c r="D405" i="8"/>
  <c r="D406" i="8"/>
  <c r="D407" i="8"/>
  <c r="D408" i="8"/>
  <c r="D409" i="8"/>
  <c r="D410" i="8"/>
  <c r="D411" i="8"/>
  <c r="D412" i="8"/>
  <c r="D413" i="8"/>
  <c r="D414" i="8"/>
  <c r="D415" i="8"/>
  <c r="D416" i="8"/>
  <c r="D417" i="8"/>
  <c r="D418" i="8"/>
  <c r="D419" i="8"/>
  <c r="D420" i="8"/>
  <c r="D421" i="8"/>
  <c r="D422" i="8"/>
  <c r="D423" i="8"/>
  <c r="D424" i="8"/>
  <c r="D425" i="8"/>
  <c r="D426" i="8"/>
  <c r="D427" i="8"/>
  <c r="D428" i="8"/>
  <c r="D429" i="8"/>
  <c r="D430" i="8"/>
  <c r="D431" i="8"/>
  <c r="D432" i="8"/>
  <c r="D433" i="8"/>
  <c r="D434" i="8"/>
  <c r="D435" i="8"/>
  <c r="D436" i="8"/>
  <c r="D437" i="8"/>
  <c r="D438" i="8"/>
  <c r="D439" i="8"/>
  <c r="D440" i="8"/>
  <c r="D441" i="8"/>
  <c r="D442" i="8"/>
  <c r="D443" i="8"/>
  <c r="D444" i="8"/>
  <c r="D445" i="8"/>
  <c r="D446" i="8"/>
  <c r="D447" i="8"/>
  <c r="D448" i="8"/>
  <c r="D449" i="8"/>
  <c r="D450" i="8"/>
  <c r="D451" i="8"/>
  <c r="D452" i="8"/>
  <c r="D453" i="8"/>
  <c r="D454" i="8"/>
  <c r="D455" i="8"/>
  <c r="D456" i="8"/>
  <c r="D457" i="8"/>
  <c r="D458" i="8"/>
  <c r="D459" i="8"/>
  <c r="D460" i="8"/>
  <c r="D461" i="8"/>
  <c r="D462" i="8"/>
  <c r="D463" i="8"/>
  <c r="D464" i="8"/>
  <c r="D465" i="8"/>
  <c r="D466" i="8"/>
  <c r="D467" i="8"/>
  <c r="D468" i="8"/>
  <c r="D469" i="8"/>
  <c r="D470" i="8"/>
  <c r="D471" i="8"/>
  <c r="D472" i="8"/>
  <c r="D473" i="8"/>
  <c r="D474" i="8"/>
  <c r="D475" i="8"/>
  <c r="D476" i="8"/>
  <c r="D477" i="8"/>
  <c r="D478" i="8"/>
  <c r="D479" i="8"/>
  <c r="D480" i="8"/>
  <c r="D481" i="8"/>
  <c r="D482" i="8"/>
  <c r="D483" i="8"/>
  <c r="D484" i="8"/>
  <c r="D485" i="8"/>
  <c r="D486" i="8"/>
  <c r="D487" i="8"/>
  <c r="D488" i="8"/>
  <c r="D489" i="8"/>
  <c r="D490" i="8"/>
  <c r="D491" i="8"/>
  <c r="D492" i="8"/>
  <c r="D493" i="8"/>
  <c r="D494" i="8"/>
  <c r="D495" i="8"/>
  <c r="D496" i="8"/>
  <c r="D497" i="8"/>
  <c r="D498" i="8"/>
  <c r="D499" i="8"/>
  <c r="D500" i="8"/>
  <c r="D501" i="8"/>
  <c r="D502" i="8"/>
  <c r="D503" i="8"/>
  <c r="D504" i="8"/>
  <c r="D505" i="8"/>
  <c r="D506" i="8"/>
  <c r="D507" i="8"/>
  <c r="D508" i="8"/>
  <c r="D509" i="8"/>
  <c r="D510" i="8"/>
  <c r="D511" i="8"/>
  <c r="D512" i="8"/>
  <c r="D13" i="8"/>
  <c r="O9" i="2" l="1"/>
  <c r="Y9" i="2" s="1" a="1"/>
  <c r="Y9" i="2" s="1"/>
  <c r="F19" i="8" l="1"/>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16" i="10" l="1"/>
  <c r="F14" i="10"/>
  <c r="F15" i="10"/>
  <c r="F17" i="10"/>
  <c r="F18" i="10"/>
  <c r="F13" i="10"/>
  <c r="M13" i="8" l="1"/>
  <c r="L14" i="2" s="1"/>
  <c r="F14" i="2" l="1"/>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D14" i="2"/>
  <c r="E14" i="2" s="1"/>
  <c r="D15" i="2"/>
  <c r="E15" i="2" s="1"/>
  <c r="D16" i="2"/>
  <c r="E16" i="2" s="1"/>
  <c r="D17" i="2"/>
  <c r="E17" i="2" s="1"/>
  <c r="D18" i="2"/>
  <c r="E18" i="2" s="1"/>
  <c r="D19" i="2"/>
  <c r="E19" i="2" s="1"/>
  <c r="D20" i="2"/>
  <c r="E20" i="2" s="1"/>
  <c r="D21" i="2"/>
  <c r="E21" i="2" s="1"/>
  <c r="D22" i="2"/>
  <c r="E22" i="2" s="1"/>
  <c r="D23" i="2"/>
  <c r="E23" i="2" s="1"/>
  <c r="D24" i="2"/>
  <c r="E24" i="2" s="1"/>
  <c r="D25" i="2"/>
  <c r="E25" i="2" s="1"/>
  <c r="D26" i="2"/>
  <c r="E26" i="2" s="1"/>
  <c r="D27" i="2"/>
  <c r="E27" i="2" s="1"/>
  <c r="D28" i="2"/>
  <c r="E28" i="2" s="1"/>
  <c r="D29" i="2"/>
  <c r="E29" i="2" s="1"/>
  <c r="D30" i="2"/>
  <c r="E30" i="2" s="1"/>
  <c r="D31" i="2"/>
  <c r="E31" i="2" s="1"/>
  <c r="D32" i="2"/>
  <c r="E32" i="2" s="1"/>
  <c r="D33" i="2"/>
  <c r="E33" i="2" s="1"/>
  <c r="D34" i="2"/>
  <c r="E34" i="2" s="1"/>
  <c r="D35" i="2"/>
  <c r="E35" i="2" s="1"/>
  <c r="D36" i="2"/>
  <c r="E36" i="2" s="1"/>
  <c r="D37" i="2"/>
  <c r="E37" i="2" s="1"/>
  <c r="D38" i="2"/>
  <c r="E38" i="2" s="1"/>
  <c r="D39" i="2"/>
  <c r="E39" i="2" s="1"/>
  <c r="D40" i="2"/>
  <c r="E40" i="2" s="1"/>
  <c r="D41" i="2"/>
  <c r="E41" i="2" s="1"/>
  <c r="D42" i="2"/>
  <c r="E42" i="2" s="1"/>
  <c r="D43" i="2"/>
  <c r="E43" i="2" s="1"/>
  <c r="D44" i="2"/>
  <c r="E44" i="2" s="1"/>
  <c r="D45" i="2"/>
  <c r="E45" i="2" s="1"/>
  <c r="D46" i="2"/>
  <c r="E46" i="2" s="1"/>
  <c r="D47" i="2"/>
  <c r="E47" i="2" s="1"/>
  <c r="D48" i="2"/>
  <c r="E48" i="2" s="1"/>
  <c r="D49" i="2"/>
  <c r="E49" i="2" s="1"/>
  <c r="D50" i="2"/>
  <c r="E50" i="2" s="1"/>
  <c r="D51" i="2"/>
  <c r="E51" i="2" s="1"/>
  <c r="D52" i="2"/>
  <c r="E52" i="2" s="1"/>
  <c r="D53" i="2"/>
  <c r="E53" i="2" s="1"/>
  <c r="D54" i="2"/>
  <c r="E54" i="2" s="1"/>
  <c r="D55" i="2"/>
  <c r="E55" i="2" s="1"/>
  <c r="D56" i="2"/>
  <c r="E56" i="2" s="1"/>
  <c r="D57" i="2"/>
  <c r="E57" i="2" s="1"/>
  <c r="D58" i="2"/>
  <c r="E58" i="2" s="1"/>
  <c r="D59" i="2"/>
  <c r="E59" i="2" s="1"/>
  <c r="D60" i="2"/>
  <c r="E60" i="2" s="1"/>
  <c r="D61" i="2"/>
  <c r="E61" i="2" s="1"/>
  <c r="D62" i="2"/>
  <c r="E62" i="2" s="1"/>
  <c r="D63" i="2"/>
  <c r="E63" i="2" s="1"/>
  <c r="D64" i="2"/>
  <c r="E64" i="2" s="1"/>
  <c r="D65" i="2"/>
  <c r="E65" i="2" s="1"/>
  <c r="D66" i="2"/>
  <c r="E66" i="2" s="1"/>
  <c r="D67" i="2"/>
  <c r="E67" i="2" s="1"/>
  <c r="D68" i="2"/>
  <c r="E68" i="2" s="1"/>
  <c r="D69" i="2"/>
  <c r="E69" i="2" s="1"/>
  <c r="D70" i="2"/>
  <c r="E70" i="2" s="1"/>
  <c r="D71" i="2"/>
  <c r="E71" i="2" s="1"/>
  <c r="D72" i="2"/>
  <c r="E72" i="2" s="1"/>
  <c r="D73" i="2"/>
  <c r="E73" i="2" s="1"/>
  <c r="D74" i="2"/>
  <c r="E74" i="2" s="1"/>
  <c r="D75" i="2"/>
  <c r="E75" i="2" s="1"/>
  <c r="D76" i="2"/>
  <c r="E76" i="2" s="1"/>
  <c r="D77" i="2"/>
  <c r="E77" i="2" s="1"/>
  <c r="D78" i="2"/>
  <c r="E78" i="2" s="1"/>
  <c r="D79" i="2"/>
  <c r="E79" i="2" s="1"/>
  <c r="D80" i="2"/>
  <c r="E80" i="2" s="1"/>
  <c r="D81" i="2"/>
  <c r="E81" i="2" s="1"/>
  <c r="D82" i="2"/>
  <c r="E82" i="2" s="1"/>
  <c r="D83" i="2"/>
  <c r="E83" i="2" s="1"/>
  <c r="D84" i="2"/>
  <c r="E84" i="2" s="1"/>
  <c r="D85" i="2"/>
  <c r="E85" i="2" s="1"/>
  <c r="D86" i="2"/>
  <c r="E86" i="2" s="1"/>
  <c r="D87" i="2"/>
  <c r="E87" i="2" s="1"/>
  <c r="D88" i="2"/>
  <c r="E88" i="2" s="1"/>
  <c r="D89" i="2"/>
  <c r="E89" i="2" s="1"/>
  <c r="D90" i="2"/>
  <c r="E90" i="2" s="1"/>
  <c r="D91" i="2"/>
  <c r="E91" i="2" s="1"/>
  <c r="D92" i="2"/>
  <c r="E92" i="2" s="1"/>
  <c r="D93" i="2"/>
  <c r="E93" i="2" s="1"/>
  <c r="D94" i="2"/>
  <c r="E94" i="2" s="1"/>
  <c r="D95" i="2"/>
  <c r="E95" i="2" s="1"/>
  <c r="D96" i="2"/>
  <c r="E96" i="2" s="1"/>
  <c r="D97" i="2"/>
  <c r="E97" i="2" s="1"/>
  <c r="D98" i="2"/>
  <c r="E98" i="2" s="1"/>
  <c r="D99" i="2"/>
  <c r="E99" i="2" s="1"/>
  <c r="D100" i="2"/>
  <c r="E100" i="2" s="1"/>
  <c r="D101" i="2"/>
  <c r="E101" i="2" s="1"/>
  <c r="D102" i="2"/>
  <c r="E102" i="2" s="1"/>
  <c r="D103" i="2"/>
  <c r="E103" i="2" s="1"/>
  <c r="D104" i="2"/>
  <c r="E104" i="2" s="1"/>
  <c r="D105" i="2"/>
  <c r="E105" i="2" s="1"/>
  <c r="D106" i="2"/>
  <c r="E106" i="2" s="1"/>
  <c r="D107" i="2"/>
  <c r="E107" i="2" s="1"/>
  <c r="D108" i="2"/>
  <c r="E108" i="2" s="1"/>
  <c r="D109" i="2"/>
  <c r="E109" i="2" s="1"/>
  <c r="D110" i="2"/>
  <c r="E110" i="2" s="1"/>
  <c r="D111" i="2"/>
  <c r="E111" i="2" s="1"/>
  <c r="D112" i="2"/>
  <c r="E112" i="2" s="1"/>
  <c r="D113" i="2"/>
  <c r="E113" i="2" s="1"/>
  <c r="D114" i="2"/>
  <c r="E114" i="2" s="1"/>
  <c r="D115" i="2"/>
  <c r="E115" i="2" s="1"/>
  <c r="D116" i="2"/>
  <c r="E116" i="2" s="1"/>
  <c r="D117" i="2"/>
  <c r="E117" i="2" s="1"/>
  <c r="D118" i="2"/>
  <c r="E118" i="2" s="1"/>
  <c r="D119" i="2"/>
  <c r="E119" i="2" s="1"/>
  <c r="D120" i="2"/>
  <c r="E120" i="2" s="1"/>
  <c r="D121" i="2"/>
  <c r="E121" i="2" s="1"/>
  <c r="D122" i="2"/>
  <c r="E122" i="2" s="1"/>
  <c r="D123" i="2"/>
  <c r="E123" i="2" s="1"/>
  <c r="D124" i="2"/>
  <c r="E124" i="2" s="1"/>
  <c r="D125" i="2"/>
  <c r="E125" i="2" s="1"/>
  <c r="D126" i="2"/>
  <c r="E126" i="2" s="1"/>
  <c r="D127" i="2"/>
  <c r="E127" i="2" s="1"/>
  <c r="D128" i="2"/>
  <c r="E128" i="2" s="1"/>
  <c r="D129" i="2"/>
  <c r="E129" i="2" s="1"/>
  <c r="D130" i="2"/>
  <c r="E130" i="2" s="1"/>
  <c r="D131" i="2"/>
  <c r="E131" i="2" s="1"/>
  <c r="D132" i="2"/>
  <c r="E132" i="2" s="1"/>
  <c r="D133" i="2"/>
  <c r="E133" i="2" s="1"/>
  <c r="D134" i="2"/>
  <c r="E134" i="2" s="1"/>
  <c r="D135" i="2"/>
  <c r="E135" i="2" s="1"/>
  <c r="D136" i="2"/>
  <c r="E136" i="2" s="1"/>
  <c r="D137" i="2"/>
  <c r="E137" i="2" s="1"/>
  <c r="D138" i="2"/>
  <c r="E138" i="2" s="1"/>
  <c r="D139" i="2"/>
  <c r="E139" i="2" s="1"/>
  <c r="D140" i="2"/>
  <c r="E140" i="2" s="1"/>
  <c r="D141" i="2"/>
  <c r="E141" i="2" s="1"/>
  <c r="D142" i="2"/>
  <c r="E142" i="2" s="1"/>
  <c r="D143" i="2"/>
  <c r="E143" i="2" s="1"/>
  <c r="D144" i="2"/>
  <c r="E144" i="2" s="1"/>
  <c r="D145" i="2"/>
  <c r="E145" i="2" s="1"/>
  <c r="D146" i="2"/>
  <c r="E146" i="2" s="1"/>
  <c r="D147" i="2"/>
  <c r="E147" i="2" s="1"/>
  <c r="D148" i="2"/>
  <c r="E148" i="2" s="1"/>
  <c r="D149" i="2"/>
  <c r="E149" i="2" s="1"/>
  <c r="D150" i="2"/>
  <c r="E150" i="2" s="1"/>
  <c r="D151" i="2"/>
  <c r="E151" i="2" s="1"/>
  <c r="D152" i="2"/>
  <c r="E152" i="2" s="1"/>
  <c r="D153" i="2"/>
  <c r="E153" i="2" s="1"/>
  <c r="D154" i="2"/>
  <c r="E154" i="2" s="1"/>
  <c r="D155" i="2"/>
  <c r="E155" i="2" s="1"/>
  <c r="D156" i="2"/>
  <c r="E156" i="2" s="1"/>
  <c r="D157" i="2"/>
  <c r="E157" i="2" s="1"/>
  <c r="D158" i="2"/>
  <c r="E158" i="2" s="1"/>
  <c r="D159" i="2"/>
  <c r="E159" i="2" s="1"/>
  <c r="D160" i="2"/>
  <c r="E160" i="2" s="1"/>
  <c r="D161" i="2"/>
  <c r="E161" i="2" s="1"/>
  <c r="D162" i="2"/>
  <c r="E162" i="2" s="1"/>
  <c r="D163" i="2"/>
  <c r="E163" i="2" s="1"/>
  <c r="D164" i="2"/>
  <c r="E164" i="2" s="1"/>
  <c r="D165" i="2"/>
  <c r="E165" i="2" s="1"/>
  <c r="D166" i="2"/>
  <c r="E166" i="2" s="1"/>
  <c r="D167" i="2"/>
  <c r="E167" i="2" s="1"/>
  <c r="D168" i="2"/>
  <c r="E168" i="2" s="1"/>
  <c r="D169" i="2"/>
  <c r="E169" i="2" s="1"/>
  <c r="D170" i="2"/>
  <c r="E170" i="2" s="1"/>
  <c r="D171" i="2"/>
  <c r="E171" i="2" s="1"/>
  <c r="D172" i="2"/>
  <c r="E172" i="2" s="1"/>
  <c r="D173" i="2"/>
  <c r="E173" i="2" s="1"/>
  <c r="D174" i="2"/>
  <c r="E174" i="2" s="1"/>
  <c r="D175" i="2"/>
  <c r="E175" i="2" s="1"/>
  <c r="D176" i="2"/>
  <c r="E176" i="2" s="1"/>
  <c r="D177" i="2"/>
  <c r="E177" i="2" s="1"/>
  <c r="D178" i="2"/>
  <c r="E178" i="2" s="1"/>
  <c r="D179" i="2"/>
  <c r="E179" i="2" s="1"/>
  <c r="D180" i="2"/>
  <c r="E180" i="2" s="1"/>
  <c r="D181" i="2"/>
  <c r="E181" i="2" s="1"/>
  <c r="D182" i="2"/>
  <c r="E182" i="2" s="1"/>
  <c r="D183" i="2"/>
  <c r="E183" i="2" s="1"/>
  <c r="D184" i="2"/>
  <c r="E184" i="2" s="1"/>
  <c r="D185" i="2"/>
  <c r="E185" i="2" s="1"/>
  <c r="D186" i="2"/>
  <c r="E186" i="2" s="1"/>
  <c r="D187" i="2"/>
  <c r="E187" i="2" s="1"/>
  <c r="D188" i="2"/>
  <c r="E188" i="2" s="1"/>
  <c r="D189" i="2"/>
  <c r="E189" i="2" s="1"/>
  <c r="D190" i="2"/>
  <c r="E190" i="2" s="1"/>
  <c r="D191" i="2"/>
  <c r="E191" i="2" s="1"/>
  <c r="D192" i="2"/>
  <c r="E192" i="2" s="1"/>
  <c r="D193" i="2"/>
  <c r="E193" i="2" s="1"/>
  <c r="D194" i="2"/>
  <c r="E194" i="2" s="1"/>
  <c r="D195" i="2"/>
  <c r="E195" i="2" s="1"/>
  <c r="D196" i="2"/>
  <c r="E196" i="2" s="1"/>
  <c r="D197" i="2"/>
  <c r="E197" i="2" s="1"/>
  <c r="D198" i="2"/>
  <c r="E198" i="2" s="1"/>
  <c r="D199" i="2"/>
  <c r="E199" i="2" s="1"/>
  <c r="D200" i="2"/>
  <c r="E200" i="2" s="1"/>
  <c r="D201" i="2"/>
  <c r="E201" i="2" s="1"/>
  <c r="D202" i="2"/>
  <c r="E202" i="2" s="1"/>
  <c r="D203" i="2"/>
  <c r="E203" i="2" s="1"/>
  <c r="D204" i="2"/>
  <c r="E204" i="2" s="1"/>
  <c r="D205" i="2"/>
  <c r="E205" i="2" s="1"/>
  <c r="D206" i="2"/>
  <c r="E206" i="2" s="1"/>
  <c r="D207" i="2"/>
  <c r="E207" i="2" s="1"/>
  <c r="D208" i="2"/>
  <c r="E208" i="2" s="1"/>
  <c r="D209" i="2"/>
  <c r="E209" i="2" s="1"/>
  <c r="D210" i="2"/>
  <c r="E210" i="2" s="1"/>
  <c r="D211" i="2"/>
  <c r="E211" i="2" s="1"/>
  <c r="D212" i="2"/>
  <c r="E212" i="2" s="1"/>
  <c r="D213" i="2"/>
  <c r="E213" i="2" s="1"/>
  <c r="D214" i="2"/>
  <c r="E214" i="2" s="1"/>
  <c r="D215" i="2"/>
  <c r="E215" i="2" s="1"/>
  <c r="D216" i="2"/>
  <c r="E216" i="2" s="1"/>
  <c r="D217" i="2"/>
  <c r="E217" i="2" s="1"/>
  <c r="D218" i="2"/>
  <c r="E218" i="2" s="1"/>
  <c r="D219" i="2"/>
  <c r="E219" i="2" s="1"/>
  <c r="D220" i="2"/>
  <c r="E220" i="2" s="1"/>
  <c r="D221" i="2"/>
  <c r="E221" i="2" s="1"/>
  <c r="D222" i="2"/>
  <c r="E222" i="2" s="1"/>
  <c r="D223" i="2"/>
  <c r="E223" i="2" s="1"/>
  <c r="D224" i="2"/>
  <c r="E224" i="2" s="1"/>
  <c r="D225" i="2"/>
  <c r="E225" i="2" s="1"/>
  <c r="D226" i="2"/>
  <c r="E226" i="2" s="1"/>
  <c r="D227" i="2"/>
  <c r="E227" i="2" s="1"/>
  <c r="D228" i="2"/>
  <c r="E228" i="2" s="1"/>
  <c r="D229" i="2"/>
  <c r="E229" i="2" s="1"/>
  <c r="D230" i="2"/>
  <c r="E230" i="2" s="1"/>
  <c r="D231" i="2"/>
  <c r="E231" i="2" s="1"/>
  <c r="D232" i="2"/>
  <c r="E232" i="2" s="1"/>
  <c r="D233" i="2"/>
  <c r="E233" i="2" s="1"/>
  <c r="D234" i="2"/>
  <c r="E234" i="2" s="1"/>
  <c r="D235" i="2"/>
  <c r="E235" i="2" s="1"/>
  <c r="D236" i="2"/>
  <c r="E236" i="2" s="1"/>
  <c r="D237" i="2"/>
  <c r="E237" i="2" s="1"/>
  <c r="D238" i="2"/>
  <c r="E238" i="2" s="1"/>
  <c r="D239" i="2"/>
  <c r="E239" i="2" s="1"/>
  <c r="D240" i="2"/>
  <c r="E240" i="2" s="1"/>
  <c r="D241" i="2"/>
  <c r="E241" i="2" s="1"/>
  <c r="D242" i="2"/>
  <c r="E242" i="2" s="1"/>
  <c r="D243" i="2"/>
  <c r="E243" i="2" s="1"/>
  <c r="D244" i="2"/>
  <c r="E244" i="2" s="1"/>
  <c r="D245" i="2"/>
  <c r="E245" i="2" s="1"/>
  <c r="D246" i="2"/>
  <c r="E246" i="2" s="1"/>
  <c r="D247" i="2"/>
  <c r="E247" i="2" s="1"/>
  <c r="D248" i="2"/>
  <c r="E248" i="2" s="1"/>
  <c r="D249" i="2"/>
  <c r="E249" i="2" s="1"/>
  <c r="D250" i="2"/>
  <c r="E250" i="2" s="1"/>
  <c r="D251" i="2"/>
  <c r="E251" i="2" s="1"/>
  <c r="D252" i="2"/>
  <c r="E252" i="2" s="1"/>
  <c r="D253" i="2"/>
  <c r="E253" i="2" s="1"/>
  <c r="D254" i="2"/>
  <c r="E254" i="2" s="1"/>
  <c r="D255" i="2"/>
  <c r="E255" i="2" s="1"/>
  <c r="D256" i="2"/>
  <c r="E256" i="2" s="1"/>
  <c r="D257" i="2"/>
  <c r="E257" i="2" s="1"/>
  <c r="D258" i="2"/>
  <c r="E258" i="2" s="1"/>
  <c r="D259" i="2"/>
  <c r="E259" i="2" s="1"/>
  <c r="D260" i="2"/>
  <c r="E260" i="2" s="1"/>
  <c r="D261" i="2"/>
  <c r="E261" i="2" s="1"/>
  <c r="D262" i="2"/>
  <c r="E262" i="2" s="1"/>
  <c r="D263" i="2"/>
  <c r="E263" i="2" s="1"/>
  <c r="D264" i="2"/>
  <c r="E264" i="2" s="1"/>
  <c r="D265" i="2"/>
  <c r="E265" i="2" s="1"/>
  <c r="D266" i="2"/>
  <c r="E266" i="2" s="1"/>
  <c r="D267" i="2"/>
  <c r="E267" i="2" s="1"/>
  <c r="D268" i="2"/>
  <c r="E268" i="2" s="1"/>
  <c r="D269" i="2"/>
  <c r="E269" i="2" s="1"/>
  <c r="D270" i="2"/>
  <c r="E270" i="2" s="1"/>
  <c r="D271" i="2"/>
  <c r="E271" i="2" s="1"/>
  <c r="D272" i="2"/>
  <c r="E272" i="2" s="1"/>
  <c r="D273" i="2"/>
  <c r="E273" i="2" s="1"/>
  <c r="D274" i="2"/>
  <c r="E274" i="2" s="1"/>
  <c r="D275" i="2"/>
  <c r="E275" i="2" s="1"/>
  <c r="D276" i="2"/>
  <c r="E276" i="2" s="1"/>
  <c r="D277" i="2"/>
  <c r="E277" i="2" s="1"/>
  <c r="D278" i="2"/>
  <c r="E278" i="2" s="1"/>
  <c r="D279" i="2"/>
  <c r="E279" i="2" s="1"/>
  <c r="D280" i="2"/>
  <c r="E280" i="2" s="1"/>
  <c r="D281" i="2"/>
  <c r="E281" i="2" s="1"/>
  <c r="D282" i="2"/>
  <c r="E282" i="2" s="1"/>
  <c r="D283" i="2"/>
  <c r="E283" i="2" s="1"/>
  <c r="D284" i="2"/>
  <c r="E284" i="2" s="1"/>
  <c r="D285" i="2"/>
  <c r="E285" i="2" s="1"/>
  <c r="D286" i="2"/>
  <c r="E286" i="2" s="1"/>
  <c r="D287" i="2"/>
  <c r="E287" i="2" s="1"/>
  <c r="D288" i="2"/>
  <c r="E288" i="2" s="1"/>
  <c r="D289" i="2"/>
  <c r="E289" i="2" s="1"/>
  <c r="D290" i="2"/>
  <c r="E290" i="2" s="1"/>
  <c r="D291" i="2"/>
  <c r="E291" i="2" s="1"/>
  <c r="D292" i="2"/>
  <c r="E292" i="2" s="1"/>
  <c r="D293" i="2"/>
  <c r="E293" i="2" s="1"/>
  <c r="D294" i="2"/>
  <c r="E294" i="2" s="1"/>
  <c r="D295" i="2"/>
  <c r="E295" i="2" s="1"/>
  <c r="D296" i="2"/>
  <c r="E296" i="2" s="1"/>
  <c r="D297" i="2"/>
  <c r="E297" i="2" s="1"/>
  <c r="D298" i="2"/>
  <c r="E298" i="2" s="1"/>
  <c r="D299" i="2"/>
  <c r="E299" i="2" s="1"/>
  <c r="D300" i="2"/>
  <c r="E300" i="2" s="1"/>
  <c r="D301" i="2"/>
  <c r="E301" i="2" s="1"/>
  <c r="D302" i="2"/>
  <c r="E302" i="2" s="1"/>
  <c r="D303" i="2"/>
  <c r="E303" i="2" s="1"/>
  <c r="D304" i="2"/>
  <c r="E304" i="2" s="1"/>
  <c r="D305" i="2"/>
  <c r="E305" i="2" s="1"/>
  <c r="D306" i="2"/>
  <c r="E306" i="2" s="1"/>
  <c r="D307" i="2"/>
  <c r="E307" i="2" s="1"/>
  <c r="D308" i="2"/>
  <c r="E308" i="2" s="1"/>
  <c r="D309" i="2"/>
  <c r="E309" i="2" s="1"/>
  <c r="D310" i="2"/>
  <c r="E310" i="2" s="1"/>
  <c r="D311" i="2"/>
  <c r="E311" i="2" s="1"/>
  <c r="D312" i="2"/>
  <c r="E312" i="2" s="1"/>
  <c r="D313" i="2"/>
  <c r="E313" i="2" s="1"/>
  <c r="D314" i="2"/>
  <c r="E314" i="2" s="1"/>
  <c r="D315" i="2"/>
  <c r="E315" i="2" s="1"/>
  <c r="D316" i="2"/>
  <c r="E316" i="2" s="1"/>
  <c r="D317" i="2"/>
  <c r="E317" i="2" s="1"/>
  <c r="D318" i="2"/>
  <c r="E318" i="2" s="1"/>
  <c r="D319" i="2"/>
  <c r="E319" i="2" s="1"/>
  <c r="D320" i="2"/>
  <c r="E320" i="2" s="1"/>
  <c r="D321" i="2"/>
  <c r="E321" i="2" s="1"/>
  <c r="D322" i="2"/>
  <c r="E322" i="2" s="1"/>
  <c r="D323" i="2"/>
  <c r="E323" i="2" s="1"/>
  <c r="D324" i="2"/>
  <c r="E324" i="2" s="1"/>
  <c r="D325" i="2"/>
  <c r="E325" i="2" s="1"/>
  <c r="D326" i="2"/>
  <c r="E326" i="2" s="1"/>
  <c r="D327" i="2"/>
  <c r="E327" i="2" s="1"/>
  <c r="D328" i="2"/>
  <c r="E328" i="2" s="1"/>
  <c r="D329" i="2"/>
  <c r="E329" i="2" s="1"/>
  <c r="D330" i="2"/>
  <c r="E330" i="2" s="1"/>
  <c r="D331" i="2"/>
  <c r="E331" i="2" s="1"/>
  <c r="D332" i="2"/>
  <c r="E332" i="2" s="1"/>
  <c r="D333" i="2"/>
  <c r="E333" i="2" s="1"/>
  <c r="D334" i="2"/>
  <c r="E334" i="2" s="1"/>
  <c r="D335" i="2"/>
  <c r="E335" i="2" s="1"/>
  <c r="D336" i="2"/>
  <c r="E336" i="2" s="1"/>
  <c r="D337" i="2"/>
  <c r="E337" i="2" s="1"/>
  <c r="D338" i="2"/>
  <c r="E338" i="2" s="1"/>
  <c r="D339" i="2"/>
  <c r="E339" i="2" s="1"/>
  <c r="D340" i="2"/>
  <c r="E340" i="2" s="1"/>
  <c r="D341" i="2"/>
  <c r="E341" i="2" s="1"/>
  <c r="D342" i="2"/>
  <c r="E342" i="2" s="1"/>
  <c r="D343" i="2"/>
  <c r="E343" i="2" s="1"/>
  <c r="D344" i="2"/>
  <c r="E344" i="2" s="1"/>
  <c r="D345" i="2"/>
  <c r="E345" i="2" s="1"/>
  <c r="D346" i="2"/>
  <c r="E346" i="2" s="1"/>
  <c r="D347" i="2"/>
  <c r="E347" i="2" s="1"/>
  <c r="D348" i="2"/>
  <c r="E348" i="2" s="1"/>
  <c r="D349" i="2"/>
  <c r="E349" i="2" s="1"/>
  <c r="D350" i="2"/>
  <c r="E350" i="2" s="1"/>
  <c r="D351" i="2"/>
  <c r="E351" i="2" s="1"/>
  <c r="D352" i="2"/>
  <c r="E352" i="2" s="1"/>
  <c r="D353" i="2"/>
  <c r="E353" i="2" s="1"/>
  <c r="D354" i="2"/>
  <c r="E354" i="2" s="1"/>
  <c r="D355" i="2"/>
  <c r="E355" i="2" s="1"/>
  <c r="D356" i="2"/>
  <c r="E356" i="2" s="1"/>
  <c r="D357" i="2"/>
  <c r="E357" i="2" s="1"/>
  <c r="D358" i="2"/>
  <c r="E358" i="2" s="1"/>
  <c r="D359" i="2"/>
  <c r="E359" i="2" s="1"/>
  <c r="D360" i="2"/>
  <c r="E360" i="2" s="1"/>
  <c r="D361" i="2"/>
  <c r="E361" i="2" s="1"/>
  <c r="D362" i="2"/>
  <c r="E362" i="2" s="1"/>
  <c r="D363" i="2"/>
  <c r="E363" i="2" s="1"/>
  <c r="D364" i="2"/>
  <c r="E364" i="2" s="1"/>
  <c r="D365" i="2"/>
  <c r="E365" i="2" s="1"/>
  <c r="D366" i="2"/>
  <c r="E366" i="2" s="1"/>
  <c r="D367" i="2"/>
  <c r="E367" i="2" s="1"/>
  <c r="D368" i="2"/>
  <c r="E368" i="2" s="1"/>
  <c r="D369" i="2"/>
  <c r="E369" i="2" s="1"/>
  <c r="D370" i="2"/>
  <c r="E370" i="2" s="1"/>
  <c r="D371" i="2"/>
  <c r="E371" i="2" s="1"/>
  <c r="D372" i="2"/>
  <c r="E372" i="2" s="1"/>
  <c r="D373" i="2"/>
  <c r="E373" i="2" s="1"/>
  <c r="D374" i="2"/>
  <c r="E374" i="2" s="1"/>
  <c r="D375" i="2"/>
  <c r="E375" i="2" s="1"/>
  <c r="D376" i="2"/>
  <c r="E376" i="2" s="1"/>
  <c r="D377" i="2"/>
  <c r="E377" i="2" s="1"/>
  <c r="D378" i="2"/>
  <c r="E378" i="2" s="1"/>
  <c r="D379" i="2"/>
  <c r="E379" i="2" s="1"/>
  <c r="D380" i="2"/>
  <c r="E380" i="2" s="1"/>
  <c r="D381" i="2"/>
  <c r="E381" i="2" s="1"/>
  <c r="D382" i="2"/>
  <c r="E382" i="2" s="1"/>
  <c r="D383" i="2"/>
  <c r="E383" i="2" s="1"/>
  <c r="D384" i="2"/>
  <c r="E384" i="2" s="1"/>
  <c r="D385" i="2"/>
  <c r="E385" i="2" s="1"/>
  <c r="D386" i="2"/>
  <c r="E386" i="2" s="1"/>
  <c r="D387" i="2"/>
  <c r="E387" i="2" s="1"/>
  <c r="D388" i="2"/>
  <c r="E388" i="2" s="1"/>
  <c r="D389" i="2"/>
  <c r="E389" i="2" s="1"/>
  <c r="D390" i="2"/>
  <c r="E390" i="2" s="1"/>
  <c r="D391" i="2"/>
  <c r="E391" i="2" s="1"/>
  <c r="D392" i="2"/>
  <c r="E392" i="2" s="1"/>
  <c r="D393" i="2"/>
  <c r="E393" i="2" s="1"/>
  <c r="D394" i="2"/>
  <c r="E394" i="2" s="1"/>
  <c r="D395" i="2"/>
  <c r="E395" i="2" s="1"/>
  <c r="D396" i="2"/>
  <c r="E396" i="2" s="1"/>
  <c r="D397" i="2"/>
  <c r="E397" i="2" s="1"/>
  <c r="D398" i="2"/>
  <c r="E398" i="2" s="1"/>
  <c r="D399" i="2"/>
  <c r="E399" i="2" s="1"/>
  <c r="D400" i="2"/>
  <c r="E400" i="2" s="1"/>
  <c r="D401" i="2"/>
  <c r="E401" i="2" s="1"/>
  <c r="D402" i="2"/>
  <c r="E402" i="2" s="1"/>
  <c r="D403" i="2"/>
  <c r="E403" i="2" s="1"/>
  <c r="D404" i="2"/>
  <c r="E404" i="2" s="1"/>
  <c r="D405" i="2"/>
  <c r="E405" i="2" s="1"/>
  <c r="D406" i="2"/>
  <c r="E406" i="2" s="1"/>
  <c r="D407" i="2"/>
  <c r="E407" i="2" s="1"/>
  <c r="D408" i="2"/>
  <c r="E408" i="2" s="1"/>
  <c r="D409" i="2"/>
  <c r="E409" i="2" s="1"/>
  <c r="D410" i="2"/>
  <c r="E410" i="2" s="1"/>
  <c r="D411" i="2"/>
  <c r="E411" i="2" s="1"/>
  <c r="D412" i="2"/>
  <c r="E412" i="2" s="1"/>
  <c r="D413" i="2"/>
  <c r="E413" i="2" s="1"/>
  <c r="D414" i="2"/>
  <c r="E414" i="2" s="1"/>
  <c r="D415" i="2"/>
  <c r="E415" i="2" s="1"/>
  <c r="D416" i="2"/>
  <c r="E416" i="2" s="1"/>
  <c r="D417" i="2"/>
  <c r="E417" i="2" s="1"/>
  <c r="D418" i="2"/>
  <c r="E418" i="2" s="1"/>
  <c r="D419" i="2"/>
  <c r="E419" i="2" s="1"/>
  <c r="D420" i="2"/>
  <c r="E420" i="2" s="1"/>
  <c r="D421" i="2"/>
  <c r="E421" i="2" s="1"/>
  <c r="D422" i="2"/>
  <c r="E422" i="2" s="1"/>
  <c r="D423" i="2"/>
  <c r="E423" i="2" s="1"/>
  <c r="D424" i="2"/>
  <c r="E424" i="2" s="1"/>
  <c r="D425" i="2"/>
  <c r="E425" i="2" s="1"/>
  <c r="D426" i="2"/>
  <c r="E426" i="2" s="1"/>
  <c r="D427" i="2"/>
  <c r="E427" i="2" s="1"/>
  <c r="D428" i="2"/>
  <c r="E428" i="2" s="1"/>
  <c r="D429" i="2"/>
  <c r="E429" i="2" s="1"/>
  <c r="D430" i="2"/>
  <c r="E430" i="2" s="1"/>
  <c r="D431" i="2"/>
  <c r="E431" i="2" s="1"/>
  <c r="D432" i="2"/>
  <c r="E432" i="2" s="1"/>
  <c r="D433" i="2"/>
  <c r="E433" i="2" s="1"/>
  <c r="D434" i="2"/>
  <c r="E434" i="2" s="1"/>
  <c r="D435" i="2"/>
  <c r="E435" i="2" s="1"/>
  <c r="D436" i="2"/>
  <c r="E436" i="2" s="1"/>
  <c r="D437" i="2"/>
  <c r="E437" i="2" s="1"/>
  <c r="D438" i="2"/>
  <c r="E438" i="2" s="1"/>
  <c r="D439" i="2"/>
  <c r="E439" i="2" s="1"/>
  <c r="D440" i="2"/>
  <c r="E440" i="2" s="1"/>
  <c r="D441" i="2"/>
  <c r="E441" i="2" s="1"/>
  <c r="D442" i="2"/>
  <c r="E442" i="2" s="1"/>
  <c r="D443" i="2"/>
  <c r="E443" i="2" s="1"/>
  <c r="D444" i="2"/>
  <c r="E444" i="2" s="1"/>
  <c r="D445" i="2"/>
  <c r="E445" i="2" s="1"/>
  <c r="D446" i="2"/>
  <c r="E446" i="2" s="1"/>
  <c r="D447" i="2"/>
  <c r="E447" i="2" s="1"/>
  <c r="D448" i="2"/>
  <c r="E448" i="2" s="1"/>
  <c r="D449" i="2"/>
  <c r="E449" i="2" s="1"/>
  <c r="D450" i="2"/>
  <c r="E450" i="2" s="1"/>
  <c r="D451" i="2"/>
  <c r="E451" i="2" s="1"/>
  <c r="D452" i="2"/>
  <c r="E452" i="2" s="1"/>
  <c r="D453" i="2"/>
  <c r="E453" i="2" s="1"/>
  <c r="D454" i="2"/>
  <c r="E454" i="2" s="1"/>
  <c r="D455" i="2"/>
  <c r="E455" i="2" s="1"/>
  <c r="D456" i="2"/>
  <c r="E456" i="2" s="1"/>
  <c r="D457" i="2"/>
  <c r="E457" i="2" s="1"/>
  <c r="D458" i="2"/>
  <c r="E458" i="2" s="1"/>
  <c r="D459" i="2"/>
  <c r="E459" i="2" s="1"/>
  <c r="D460" i="2"/>
  <c r="E460" i="2" s="1"/>
  <c r="D461" i="2"/>
  <c r="E461" i="2" s="1"/>
  <c r="D462" i="2"/>
  <c r="E462" i="2" s="1"/>
  <c r="D463" i="2"/>
  <c r="E463" i="2" s="1"/>
  <c r="D464" i="2"/>
  <c r="E464" i="2" s="1"/>
  <c r="D465" i="2"/>
  <c r="E465" i="2" s="1"/>
  <c r="D466" i="2"/>
  <c r="E466" i="2" s="1"/>
  <c r="D467" i="2"/>
  <c r="E467" i="2" s="1"/>
  <c r="D468" i="2"/>
  <c r="E468" i="2" s="1"/>
  <c r="D469" i="2"/>
  <c r="E469" i="2" s="1"/>
  <c r="D470" i="2"/>
  <c r="E470" i="2" s="1"/>
  <c r="D471" i="2"/>
  <c r="E471" i="2" s="1"/>
  <c r="D472" i="2"/>
  <c r="E472" i="2" s="1"/>
  <c r="D473" i="2"/>
  <c r="E473" i="2" s="1"/>
  <c r="D474" i="2"/>
  <c r="E474" i="2" s="1"/>
  <c r="D475" i="2"/>
  <c r="E475" i="2" s="1"/>
  <c r="D476" i="2"/>
  <c r="E476" i="2" s="1"/>
  <c r="D477" i="2"/>
  <c r="E477" i="2" s="1"/>
  <c r="D478" i="2"/>
  <c r="E478" i="2" s="1"/>
  <c r="D479" i="2"/>
  <c r="E479" i="2" s="1"/>
  <c r="D480" i="2"/>
  <c r="E480" i="2" s="1"/>
  <c r="D481" i="2"/>
  <c r="E481" i="2" s="1"/>
  <c r="D482" i="2"/>
  <c r="E482" i="2" s="1"/>
  <c r="D483" i="2"/>
  <c r="E483" i="2" s="1"/>
  <c r="D484" i="2"/>
  <c r="E484" i="2" s="1"/>
  <c r="D485" i="2"/>
  <c r="E485" i="2" s="1"/>
  <c r="D486" i="2"/>
  <c r="E486" i="2" s="1"/>
  <c r="D487" i="2"/>
  <c r="E487" i="2" s="1"/>
  <c r="D488" i="2"/>
  <c r="E488" i="2" s="1"/>
  <c r="D489" i="2"/>
  <c r="E489" i="2" s="1"/>
  <c r="D490" i="2"/>
  <c r="E490" i="2" s="1"/>
  <c r="D491" i="2"/>
  <c r="E491" i="2" s="1"/>
  <c r="D492" i="2"/>
  <c r="E492" i="2" s="1"/>
  <c r="D493" i="2"/>
  <c r="E493" i="2" s="1"/>
  <c r="D494" i="2"/>
  <c r="E494" i="2" s="1"/>
  <c r="D495" i="2"/>
  <c r="E495" i="2" s="1"/>
  <c r="D496" i="2"/>
  <c r="E496" i="2" s="1"/>
  <c r="D497" i="2"/>
  <c r="E497" i="2" s="1"/>
  <c r="D498" i="2"/>
  <c r="E498" i="2" s="1"/>
  <c r="D499" i="2"/>
  <c r="E499" i="2" s="1"/>
  <c r="D500" i="2"/>
  <c r="E500" i="2" s="1"/>
  <c r="D501" i="2"/>
  <c r="E501" i="2" s="1"/>
  <c r="D502" i="2"/>
  <c r="E502" i="2" s="1"/>
  <c r="D503" i="2"/>
  <c r="E503" i="2" s="1"/>
  <c r="D504" i="2"/>
  <c r="E504" i="2" s="1"/>
  <c r="D505" i="2"/>
  <c r="E505" i="2" s="1"/>
  <c r="D506" i="2"/>
  <c r="E506" i="2" s="1"/>
  <c r="D507" i="2"/>
  <c r="E507" i="2" s="1"/>
  <c r="D508" i="2"/>
  <c r="E508" i="2" s="1"/>
  <c r="D509" i="2"/>
  <c r="E509" i="2" s="1"/>
  <c r="D510" i="2"/>
  <c r="E510" i="2" s="1"/>
  <c r="D511" i="2"/>
  <c r="E511" i="2" s="1"/>
  <c r="D512" i="2"/>
  <c r="E512" i="2" s="1"/>
  <c r="D513" i="2"/>
  <c r="E513" i="2" s="1"/>
  <c r="F13" i="8"/>
  <c r="F14" i="8"/>
  <c r="F15" i="8"/>
  <c r="F16" i="8"/>
  <c r="F17" i="8"/>
  <c r="F18" i="8"/>
  <c r="F20" i="8"/>
  <c r="F21" i="8"/>
  <c r="F22" i="8"/>
  <c r="F23" i="8"/>
  <c r="F24" i="8"/>
  <c r="F25" i="8"/>
  <c r="F26" i="8"/>
  <c r="M14" i="8"/>
  <c r="L15" i="2" s="1"/>
  <c r="M15" i="8"/>
  <c r="L16" i="2" s="1"/>
  <c r="M16" i="8"/>
  <c r="L17" i="2" s="1"/>
  <c r="M17" i="8"/>
  <c r="L18" i="2" s="1"/>
  <c r="M18" i="8"/>
  <c r="L19" i="2" s="1"/>
  <c r="M19" i="8"/>
  <c r="L20" i="2" s="1"/>
  <c r="M20" i="8"/>
  <c r="L21" i="2" s="1"/>
  <c r="M21" i="8"/>
  <c r="L22" i="2" s="1"/>
  <c r="M22" i="8"/>
  <c r="L23" i="2" s="1"/>
  <c r="M23" i="8"/>
  <c r="L24" i="2" s="1"/>
  <c r="M24" i="8"/>
  <c r="L25" i="2" s="1"/>
  <c r="M25" i="8"/>
  <c r="L26" i="2" s="1"/>
  <c r="M26" i="8"/>
  <c r="L27" i="2" s="1"/>
  <c r="M27" i="8"/>
  <c r="L28" i="2" s="1"/>
  <c r="M28" i="8"/>
  <c r="L29" i="2" s="1"/>
  <c r="M29" i="8"/>
  <c r="L30" i="2" s="1"/>
  <c r="M30" i="8"/>
  <c r="L31" i="2" s="1"/>
  <c r="M31" i="8"/>
  <c r="L32" i="2" s="1"/>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M274" i="8"/>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347" i="8"/>
  <c r="M348" i="8"/>
  <c r="M349" i="8"/>
  <c r="M350" i="8"/>
  <c r="M351" i="8"/>
  <c r="M352" i="8"/>
  <c r="M353" i="8"/>
  <c r="M354" i="8"/>
  <c r="M355" i="8"/>
  <c r="M356" i="8"/>
  <c r="M357" i="8"/>
  <c r="M358" i="8"/>
  <c r="M359" i="8"/>
  <c r="M360" i="8"/>
  <c r="M361" i="8"/>
  <c r="M362" i="8"/>
  <c r="M363" i="8"/>
  <c r="M364" i="8"/>
  <c r="M365" i="8"/>
  <c r="M366" i="8"/>
  <c r="M367" i="8"/>
  <c r="M368" i="8"/>
  <c r="M369" i="8"/>
  <c r="M370" i="8"/>
  <c r="M371" i="8"/>
  <c r="M372" i="8"/>
  <c r="M373" i="8"/>
  <c r="M374" i="8"/>
  <c r="M375" i="8"/>
  <c r="M376" i="8"/>
  <c r="M377" i="8"/>
  <c r="M378" i="8"/>
  <c r="M379" i="8"/>
  <c r="M380" i="8"/>
  <c r="M381" i="8"/>
  <c r="M382" i="8"/>
  <c r="M383" i="8"/>
  <c r="M384" i="8"/>
  <c r="M385" i="8"/>
  <c r="M386" i="8"/>
  <c r="M387" i="8"/>
  <c r="M388" i="8"/>
  <c r="M389" i="8"/>
  <c r="M390" i="8"/>
  <c r="M391" i="8"/>
  <c r="M392" i="8"/>
  <c r="M393" i="8"/>
  <c r="M394" i="8"/>
  <c r="M395" i="8"/>
  <c r="M396" i="8"/>
  <c r="M397" i="8"/>
  <c r="M398" i="8"/>
  <c r="M399" i="8"/>
  <c r="M400" i="8"/>
  <c r="M401" i="8"/>
  <c r="M402" i="8"/>
  <c r="M403" i="8"/>
  <c r="M404" i="8"/>
  <c r="M405" i="8"/>
  <c r="M406" i="8"/>
  <c r="M407" i="8"/>
  <c r="M408" i="8"/>
  <c r="M409" i="8"/>
  <c r="M410" i="8"/>
  <c r="M411" i="8"/>
  <c r="M412" i="8"/>
  <c r="M413" i="8"/>
  <c r="M414" i="8"/>
  <c r="M415" i="8"/>
  <c r="M416" i="8"/>
  <c r="M417" i="8"/>
  <c r="M418" i="8"/>
  <c r="M419" i="8"/>
  <c r="M420" i="8"/>
  <c r="M421" i="8"/>
  <c r="M422" i="8"/>
  <c r="M423" i="8"/>
  <c r="M424" i="8"/>
  <c r="M425" i="8"/>
  <c r="M426" i="8"/>
  <c r="M427" i="8"/>
  <c r="M428" i="8"/>
  <c r="M429" i="8"/>
  <c r="M430" i="8"/>
  <c r="M431" i="8"/>
  <c r="M432" i="8"/>
  <c r="M433" i="8"/>
  <c r="M434" i="8"/>
  <c r="M435" i="8"/>
  <c r="M436" i="8"/>
  <c r="M437" i="8"/>
  <c r="M438" i="8"/>
  <c r="M439" i="8"/>
  <c r="M440" i="8"/>
  <c r="M441" i="8"/>
  <c r="M442" i="8"/>
  <c r="M443" i="8"/>
  <c r="M444" i="8"/>
  <c r="M445" i="8"/>
  <c r="M446" i="8"/>
  <c r="M447" i="8"/>
  <c r="M448" i="8"/>
  <c r="M449" i="8"/>
  <c r="M450" i="8"/>
  <c r="M451" i="8"/>
  <c r="M452" i="8"/>
  <c r="M453" i="8"/>
  <c r="M454" i="8"/>
  <c r="M455" i="8"/>
  <c r="M456" i="8"/>
  <c r="M457" i="8"/>
  <c r="M458" i="8"/>
  <c r="M459" i="8"/>
  <c r="M460" i="8"/>
  <c r="M461" i="8"/>
  <c r="M462" i="8"/>
  <c r="M463" i="8"/>
  <c r="M464" i="8"/>
  <c r="M465" i="8"/>
  <c r="M466" i="8"/>
  <c r="M467" i="8"/>
  <c r="M468" i="8"/>
  <c r="M469" i="8"/>
  <c r="M470" i="8"/>
  <c r="M471" i="8"/>
  <c r="M472" i="8"/>
  <c r="M473" i="8"/>
  <c r="M474" i="8"/>
  <c r="M475" i="8"/>
  <c r="M476" i="8"/>
  <c r="M477" i="8"/>
  <c r="M478" i="8"/>
  <c r="M479" i="8"/>
  <c r="M480" i="8"/>
  <c r="M481" i="8"/>
  <c r="M482" i="8"/>
  <c r="M483" i="8"/>
  <c r="M484" i="8"/>
  <c r="M485" i="8"/>
  <c r="M486" i="8"/>
  <c r="M487" i="8"/>
  <c r="M488" i="8"/>
  <c r="M489" i="8"/>
  <c r="M490" i="8"/>
  <c r="M491" i="8"/>
  <c r="M492" i="8"/>
  <c r="M493" i="8"/>
  <c r="M494" i="8"/>
  <c r="M495" i="8"/>
  <c r="M496" i="8"/>
  <c r="M497" i="8"/>
  <c r="M498" i="8"/>
  <c r="M499" i="8"/>
  <c r="M500" i="8"/>
  <c r="M501" i="8"/>
  <c r="M502" i="8"/>
  <c r="M503" i="8"/>
  <c r="M504" i="8"/>
  <c r="M505" i="8"/>
  <c r="M506" i="8"/>
  <c r="M507" i="8"/>
  <c r="M508" i="8"/>
  <c r="M509" i="8"/>
  <c r="M510" i="8"/>
  <c r="M511" i="8"/>
  <c r="M512" i="8"/>
  <c r="L513" i="2" s="1"/>
  <c r="C457" i="2" l="1"/>
  <c r="C409" i="2"/>
  <c r="C313" i="2"/>
  <c r="C249" i="2"/>
  <c r="C169" i="2"/>
  <c r="C121" i="2"/>
  <c r="C25" i="2"/>
  <c r="C456" i="2"/>
  <c r="C360" i="2"/>
  <c r="C280" i="2"/>
  <c r="C184" i="2"/>
  <c r="C136" i="2"/>
  <c r="C72" i="2"/>
  <c r="C503" i="2"/>
  <c r="C407" i="2"/>
  <c r="C343" i="2"/>
  <c r="C279" i="2"/>
  <c r="C167" i="2"/>
  <c r="C55" i="2"/>
  <c r="C501" i="2"/>
  <c r="C437" i="2"/>
  <c r="C373" i="2"/>
  <c r="C309" i="2"/>
  <c r="C229" i="2"/>
  <c r="C213" i="2"/>
  <c r="C117" i="2"/>
  <c r="C53" i="2"/>
  <c r="C500" i="2"/>
  <c r="C484" i="2"/>
  <c r="C468" i="2"/>
  <c r="C452" i="2"/>
  <c r="C436" i="2"/>
  <c r="C420" i="2"/>
  <c r="C404" i="2"/>
  <c r="C388" i="2"/>
  <c r="C372" i="2"/>
  <c r="C356" i="2"/>
  <c r="C340" i="2"/>
  <c r="C324" i="2"/>
  <c r="C308" i="2"/>
  <c r="C292" i="2"/>
  <c r="C276" i="2"/>
  <c r="C260" i="2"/>
  <c r="C244" i="2"/>
  <c r="C228" i="2"/>
  <c r="C212" i="2"/>
  <c r="C196" i="2"/>
  <c r="C180" i="2"/>
  <c r="C164" i="2"/>
  <c r="C148" i="2"/>
  <c r="C132" i="2"/>
  <c r="C116" i="2"/>
  <c r="C100" i="2"/>
  <c r="C84" i="2"/>
  <c r="C68" i="2"/>
  <c r="C52" i="2"/>
  <c r="C36" i="2"/>
  <c r="C377" i="2"/>
  <c r="C105" i="2"/>
  <c r="C392" i="2"/>
  <c r="C152" i="2"/>
  <c r="C487" i="2"/>
  <c r="C231" i="2"/>
  <c r="C438" i="2"/>
  <c r="C198" i="2"/>
  <c r="C325" i="2"/>
  <c r="C101" i="2"/>
  <c r="C499" i="2"/>
  <c r="C483" i="2"/>
  <c r="C467" i="2"/>
  <c r="C451" i="2"/>
  <c r="C435" i="2"/>
  <c r="C419" i="2"/>
  <c r="C403" i="2"/>
  <c r="C387" i="2"/>
  <c r="C371" i="2"/>
  <c r="C355" i="2"/>
  <c r="C339" i="2"/>
  <c r="C323" i="2"/>
  <c r="C307" i="2"/>
  <c r="C291" i="2"/>
  <c r="C275" i="2"/>
  <c r="C259" i="2"/>
  <c r="C243" i="2"/>
  <c r="C227" i="2"/>
  <c r="C211" i="2"/>
  <c r="C195" i="2"/>
  <c r="C179" i="2"/>
  <c r="C163" i="2"/>
  <c r="C147" i="2"/>
  <c r="C131" i="2"/>
  <c r="C115" i="2"/>
  <c r="C99" i="2"/>
  <c r="C83" i="2"/>
  <c r="C67" i="2"/>
  <c r="C51" i="2"/>
  <c r="C35" i="2"/>
  <c r="C329" i="2"/>
  <c r="C41" i="2"/>
  <c r="C312" i="2"/>
  <c r="C88" i="2"/>
  <c r="C391" i="2"/>
  <c r="C135" i="2"/>
  <c r="C390" i="2"/>
  <c r="C182" i="2"/>
  <c r="C357" i="2"/>
  <c r="C85" i="2"/>
  <c r="C498" i="2"/>
  <c r="C482" i="2"/>
  <c r="C466" i="2"/>
  <c r="C450" i="2"/>
  <c r="C434" i="2"/>
  <c r="C418" i="2"/>
  <c r="C402" i="2"/>
  <c r="C386" i="2"/>
  <c r="C370" i="2"/>
  <c r="C354" i="2"/>
  <c r="C338" i="2"/>
  <c r="C322" i="2"/>
  <c r="C306" i="2"/>
  <c r="C290" i="2"/>
  <c r="C274" i="2"/>
  <c r="C258" i="2"/>
  <c r="C242" i="2"/>
  <c r="C226" i="2"/>
  <c r="C210" i="2"/>
  <c r="C194" i="2"/>
  <c r="C178" i="2"/>
  <c r="C162" i="2"/>
  <c r="C146" i="2"/>
  <c r="C130" i="2"/>
  <c r="C114" i="2"/>
  <c r="C98" i="2"/>
  <c r="C82" i="2"/>
  <c r="C66" i="2"/>
  <c r="C50" i="2"/>
  <c r="C34" i="2"/>
  <c r="C393" i="2"/>
  <c r="C137" i="2"/>
  <c r="C328" i="2"/>
  <c r="C120" i="2"/>
  <c r="C471" i="2"/>
  <c r="C215" i="2"/>
  <c r="C454" i="2"/>
  <c r="C246" i="2"/>
  <c r="C86" i="2"/>
  <c r="C389" i="2"/>
  <c r="C165" i="2"/>
  <c r="C513" i="2"/>
  <c r="C497" i="2"/>
  <c r="C481" i="2"/>
  <c r="C465" i="2"/>
  <c r="C449" i="2"/>
  <c r="C433" i="2"/>
  <c r="C417" i="2"/>
  <c r="C401" i="2"/>
  <c r="C385" i="2"/>
  <c r="C369" i="2"/>
  <c r="C353" i="2"/>
  <c r="C337" i="2"/>
  <c r="C321" i="2"/>
  <c r="C305" i="2"/>
  <c r="C289" i="2"/>
  <c r="C273" i="2"/>
  <c r="C257" i="2"/>
  <c r="C241" i="2"/>
  <c r="C225" i="2"/>
  <c r="C209" i="2"/>
  <c r="C193" i="2"/>
  <c r="C177" i="2"/>
  <c r="C161" i="2"/>
  <c r="C145" i="2"/>
  <c r="C129" i="2"/>
  <c r="C113" i="2"/>
  <c r="C97" i="2"/>
  <c r="C81" i="2"/>
  <c r="C65" i="2"/>
  <c r="C49" i="2"/>
  <c r="C33" i="2"/>
  <c r="C345" i="2"/>
  <c r="C89" i="2"/>
  <c r="C376" i="2"/>
  <c r="C56" i="2"/>
  <c r="C455" i="2"/>
  <c r="C199" i="2"/>
  <c r="C470" i="2"/>
  <c r="C278" i="2"/>
  <c r="C54" i="2"/>
  <c r="C341" i="2"/>
  <c r="C181" i="2"/>
  <c r="C480" i="2"/>
  <c r="C416" i="2"/>
  <c r="C352" i="2"/>
  <c r="C336" i="2"/>
  <c r="C320" i="2"/>
  <c r="C304" i="2"/>
  <c r="C288" i="2"/>
  <c r="C272" i="2"/>
  <c r="C256" i="2"/>
  <c r="C240" i="2"/>
  <c r="C224" i="2"/>
  <c r="C208" i="2"/>
  <c r="C192" i="2"/>
  <c r="C176" i="2"/>
  <c r="C160" i="2"/>
  <c r="C144" i="2"/>
  <c r="C128" i="2"/>
  <c r="C112" i="2"/>
  <c r="C96" i="2"/>
  <c r="C80" i="2"/>
  <c r="C64" i="2"/>
  <c r="C48" i="2"/>
  <c r="C32" i="2"/>
  <c r="C16" i="2"/>
  <c r="C297" i="2"/>
  <c r="C424" i="2"/>
  <c r="C342" i="2"/>
  <c r="C150" i="2"/>
  <c r="C485" i="2"/>
  <c r="C293" i="2"/>
  <c r="C149" i="2"/>
  <c r="C448" i="2"/>
  <c r="C511" i="2"/>
  <c r="C495" i="2"/>
  <c r="C479" i="2"/>
  <c r="C463" i="2"/>
  <c r="C447" i="2"/>
  <c r="C431" i="2"/>
  <c r="C415" i="2"/>
  <c r="C399" i="2"/>
  <c r="C383" i="2"/>
  <c r="C367" i="2"/>
  <c r="C351" i="2"/>
  <c r="C335" i="2"/>
  <c r="C319" i="2"/>
  <c r="C303" i="2"/>
  <c r="C287" i="2"/>
  <c r="C271" i="2"/>
  <c r="C255" i="2"/>
  <c r="C239" i="2"/>
  <c r="C223" i="2"/>
  <c r="C207" i="2"/>
  <c r="C191" i="2"/>
  <c r="C175" i="2"/>
  <c r="C159" i="2"/>
  <c r="C143" i="2"/>
  <c r="C127" i="2"/>
  <c r="C111" i="2"/>
  <c r="C95" i="2"/>
  <c r="C79" i="2"/>
  <c r="C63" i="2"/>
  <c r="C47" i="2"/>
  <c r="C31" i="2"/>
  <c r="C15" i="2"/>
  <c r="C489" i="2"/>
  <c r="C201" i="2"/>
  <c r="C504" i="2"/>
  <c r="C264" i="2"/>
  <c r="C295" i="2"/>
  <c r="C39" i="2"/>
  <c r="C358" i="2"/>
  <c r="C134" i="2"/>
  <c r="C405" i="2"/>
  <c r="C197" i="2"/>
  <c r="C384" i="2"/>
  <c r="C510" i="2"/>
  <c r="C494" i="2"/>
  <c r="C478" i="2"/>
  <c r="C462" i="2"/>
  <c r="C446" i="2"/>
  <c r="C430" i="2"/>
  <c r="C414" i="2"/>
  <c r="C398" i="2"/>
  <c r="C382" i="2"/>
  <c r="C366" i="2"/>
  <c r="C350" i="2"/>
  <c r="C334" i="2"/>
  <c r="C318" i="2"/>
  <c r="C302" i="2"/>
  <c r="C286" i="2"/>
  <c r="C270" i="2"/>
  <c r="C254" i="2"/>
  <c r="C238" i="2"/>
  <c r="C222" i="2"/>
  <c r="C206" i="2"/>
  <c r="C190" i="2"/>
  <c r="C174" i="2"/>
  <c r="C158" i="2"/>
  <c r="C142" i="2"/>
  <c r="C126" i="2"/>
  <c r="C110" i="2"/>
  <c r="C94" i="2"/>
  <c r="C78" i="2"/>
  <c r="C62" i="2"/>
  <c r="C46" i="2"/>
  <c r="C30" i="2"/>
  <c r="C14" i="2"/>
  <c r="C505" i="2"/>
  <c r="C265" i="2"/>
  <c r="C488" i="2"/>
  <c r="C232" i="2"/>
  <c r="C423" i="2"/>
  <c r="C151" i="2"/>
  <c r="C502" i="2"/>
  <c r="C294" i="2"/>
  <c r="C102" i="2"/>
  <c r="C453" i="2"/>
  <c r="C245" i="2"/>
  <c r="C37" i="2"/>
  <c r="C464" i="2"/>
  <c r="C509" i="2"/>
  <c r="C493" i="2"/>
  <c r="C477" i="2"/>
  <c r="C461" i="2"/>
  <c r="C445" i="2"/>
  <c r="C429" i="2"/>
  <c r="C413" i="2"/>
  <c r="C397" i="2"/>
  <c r="C381" i="2"/>
  <c r="C365" i="2"/>
  <c r="C349" i="2"/>
  <c r="C333" i="2"/>
  <c r="C317" i="2"/>
  <c r="C301" i="2"/>
  <c r="C285" i="2"/>
  <c r="C269" i="2"/>
  <c r="C253" i="2"/>
  <c r="C237" i="2"/>
  <c r="C221" i="2"/>
  <c r="C205" i="2"/>
  <c r="C189" i="2"/>
  <c r="C173" i="2"/>
  <c r="C157" i="2"/>
  <c r="C141" i="2"/>
  <c r="C125" i="2"/>
  <c r="C109" i="2"/>
  <c r="C93" i="2"/>
  <c r="C77" i="2"/>
  <c r="C61" i="2"/>
  <c r="C45" i="2"/>
  <c r="C29" i="2"/>
  <c r="C233" i="2"/>
  <c r="C440" i="2"/>
  <c r="C200" i="2"/>
  <c r="C311" i="2"/>
  <c r="C71" i="2"/>
  <c r="C326" i="2"/>
  <c r="C118" i="2"/>
  <c r="C469" i="2"/>
  <c r="C277" i="2"/>
  <c r="C69" i="2"/>
  <c r="C400" i="2"/>
  <c r="C508" i="2"/>
  <c r="C492" i="2"/>
  <c r="C476" i="2"/>
  <c r="C460" i="2"/>
  <c r="C444" i="2"/>
  <c r="C428" i="2"/>
  <c r="C412" i="2"/>
  <c r="C396" i="2"/>
  <c r="C380" i="2"/>
  <c r="C364" i="2"/>
  <c r="C348" i="2"/>
  <c r="C332" i="2"/>
  <c r="C316" i="2"/>
  <c r="C300" i="2"/>
  <c r="C284" i="2"/>
  <c r="C268" i="2"/>
  <c r="C252" i="2"/>
  <c r="C236" i="2"/>
  <c r="C220" i="2"/>
  <c r="C204" i="2"/>
  <c r="C188" i="2"/>
  <c r="C172" i="2"/>
  <c r="C156" i="2"/>
  <c r="C140" i="2"/>
  <c r="C124" i="2"/>
  <c r="C108" i="2"/>
  <c r="C92" i="2"/>
  <c r="C76" i="2"/>
  <c r="C60" i="2"/>
  <c r="C44" i="2"/>
  <c r="C28" i="2"/>
  <c r="C441" i="2"/>
  <c r="C217" i="2"/>
  <c r="C57" i="2"/>
  <c r="C408" i="2"/>
  <c r="C216" i="2"/>
  <c r="C40" i="2"/>
  <c r="C375" i="2"/>
  <c r="C247" i="2"/>
  <c r="C87" i="2"/>
  <c r="C406" i="2"/>
  <c r="C230" i="2"/>
  <c r="C38" i="2"/>
  <c r="C421" i="2"/>
  <c r="C261" i="2"/>
  <c r="C133" i="2"/>
  <c r="C512" i="2"/>
  <c r="C368" i="2"/>
  <c r="C507" i="2"/>
  <c r="C491" i="2"/>
  <c r="C475" i="2"/>
  <c r="C459" i="2"/>
  <c r="C443" i="2"/>
  <c r="C427" i="2"/>
  <c r="C411" i="2"/>
  <c r="C395" i="2"/>
  <c r="C379" i="2"/>
  <c r="C363" i="2"/>
  <c r="C347" i="2"/>
  <c r="C331" i="2"/>
  <c r="C315" i="2"/>
  <c r="C299" i="2"/>
  <c r="C283" i="2"/>
  <c r="C267" i="2"/>
  <c r="C251" i="2"/>
  <c r="C235" i="2"/>
  <c r="C219" i="2"/>
  <c r="C203" i="2"/>
  <c r="C187" i="2"/>
  <c r="C171" i="2"/>
  <c r="C155" i="2"/>
  <c r="C139" i="2"/>
  <c r="C123" i="2"/>
  <c r="C107" i="2"/>
  <c r="C91" i="2"/>
  <c r="C75" i="2"/>
  <c r="C59" i="2"/>
  <c r="C43" i="2"/>
  <c r="C27" i="2"/>
  <c r="C473" i="2"/>
  <c r="C425" i="2"/>
  <c r="C361" i="2"/>
  <c r="C281" i="2"/>
  <c r="C185" i="2"/>
  <c r="C153" i="2"/>
  <c r="C73" i="2"/>
  <c r="C472" i="2"/>
  <c r="C344" i="2"/>
  <c r="C296" i="2"/>
  <c r="C248" i="2"/>
  <c r="C168" i="2"/>
  <c r="C104" i="2"/>
  <c r="C439" i="2"/>
  <c r="C359" i="2"/>
  <c r="C327" i="2"/>
  <c r="C263" i="2"/>
  <c r="C183" i="2"/>
  <c r="C119" i="2"/>
  <c r="C103" i="2"/>
  <c r="C486" i="2"/>
  <c r="C422" i="2"/>
  <c r="C374" i="2"/>
  <c r="C310" i="2"/>
  <c r="C262" i="2"/>
  <c r="C214" i="2"/>
  <c r="C166" i="2"/>
  <c r="C70" i="2"/>
  <c r="C496" i="2"/>
  <c r="C432" i="2"/>
  <c r="C506" i="2"/>
  <c r="C490" i="2"/>
  <c r="C474" i="2"/>
  <c r="C458" i="2"/>
  <c r="C442" i="2"/>
  <c r="C426" i="2"/>
  <c r="C410" i="2"/>
  <c r="C394" i="2"/>
  <c r="C378" i="2"/>
  <c r="C362" i="2"/>
  <c r="C346" i="2"/>
  <c r="C330" i="2"/>
  <c r="C314" i="2"/>
  <c r="C298" i="2"/>
  <c r="C282" i="2"/>
  <c r="C266" i="2"/>
  <c r="C250" i="2"/>
  <c r="C234" i="2"/>
  <c r="C218" i="2"/>
  <c r="C202" i="2"/>
  <c r="C186" i="2"/>
  <c r="C170" i="2"/>
  <c r="C154" i="2"/>
  <c r="C138" i="2"/>
  <c r="C122" i="2"/>
  <c r="C106" i="2"/>
  <c r="C90" i="2"/>
  <c r="C74" i="2"/>
  <c r="C58" i="2"/>
  <c r="C42" i="2"/>
  <c r="C26" i="2"/>
  <c r="C24" i="2"/>
  <c r="C23" i="2"/>
  <c r="C22" i="2"/>
  <c r="C21" i="2"/>
  <c r="C20" i="2"/>
  <c r="C19" i="2"/>
  <c r="C18" i="2"/>
  <c r="C17" i="2"/>
  <c r="M512" i="10"/>
  <c r="M511" i="10"/>
  <c r="M510" i="10"/>
  <c r="M509" i="10"/>
  <c r="M508" i="10"/>
  <c r="M507" i="10"/>
  <c r="M506" i="10"/>
  <c r="M505" i="10"/>
  <c r="M504" i="10"/>
  <c r="M503" i="10"/>
  <c r="M502" i="10"/>
  <c r="M501" i="10"/>
  <c r="M500" i="10"/>
  <c r="M499" i="10"/>
  <c r="M498" i="10"/>
  <c r="M497" i="10"/>
  <c r="M496" i="10"/>
  <c r="M495" i="10"/>
  <c r="M494" i="10"/>
  <c r="M493" i="10"/>
  <c r="M492" i="10"/>
  <c r="M491" i="10"/>
  <c r="M490" i="10"/>
  <c r="M489" i="10"/>
  <c r="M488" i="10"/>
  <c r="M487" i="10"/>
  <c r="M486" i="10"/>
  <c r="M485" i="10"/>
  <c r="M484" i="10"/>
  <c r="M483" i="10"/>
  <c r="M482" i="10"/>
  <c r="M481" i="10"/>
  <c r="M480" i="10"/>
  <c r="M479" i="10"/>
  <c r="M478" i="10"/>
  <c r="M477" i="10"/>
  <c r="M476" i="10"/>
  <c r="M475" i="10"/>
  <c r="M474" i="10"/>
  <c r="M473" i="10"/>
  <c r="M472" i="10"/>
  <c r="M471" i="10"/>
  <c r="M470" i="10"/>
  <c r="M469" i="10"/>
  <c r="M468" i="10"/>
  <c r="M467" i="10"/>
  <c r="M466" i="10"/>
  <c r="M465" i="10"/>
  <c r="M464" i="10"/>
  <c r="M463" i="10"/>
  <c r="M462" i="10"/>
  <c r="M461" i="10"/>
  <c r="M460" i="10"/>
  <c r="M459" i="10"/>
  <c r="M458" i="10"/>
  <c r="M457" i="10"/>
  <c r="M456" i="10"/>
  <c r="M455" i="10"/>
  <c r="M454" i="10"/>
  <c r="M453" i="10"/>
  <c r="M452" i="10"/>
  <c r="M451" i="10"/>
  <c r="M450" i="10"/>
  <c r="M449" i="10"/>
  <c r="M448" i="10"/>
  <c r="M447" i="10"/>
  <c r="M446" i="10"/>
  <c r="M445" i="10"/>
  <c r="M444" i="10"/>
  <c r="M443" i="10"/>
  <c r="M442" i="10"/>
  <c r="M441" i="10"/>
  <c r="M440" i="10"/>
  <c r="M439" i="10"/>
  <c r="M438" i="10"/>
  <c r="M437" i="10"/>
  <c r="M436" i="10"/>
  <c r="M435" i="10"/>
  <c r="M434" i="10"/>
  <c r="M433" i="10"/>
  <c r="M432" i="10"/>
  <c r="M431" i="10"/>
  <c r="M430" i="10"/>
  <c r="M429" i="10"/>
  <c r="M428" i="10"/>
  <c r="M427" i="10"/>
  <c r="M426" i="10"/>
  <c r="M425" i="10"/>
  <c r="M424" i="10"/>
  <c r="M423" i="10"/>
  <c r="M422" i="10"/>
  <c r="M421" i="10"/>
  <c r="M420" i="10"/>
  <c r="M419" i="10"/>
  <c r="M418" i="10"/>
  <c r="M417" i="10"/>
  <c r="M416" i="10"/>
  <c r="M415" i="10"/>
  <c r="M414" i="10"/>
  <c r="M413" i="10"/>
  <c r="M412" i="10"/>
  <c r="M411" i="10"/>
  <c r="M410" i="10"/>
  <c r="M409" i="10"/>
  <c r="M408" i="10"/>
  <c r="M407" i="10"/>
  <c r="M406" i="10"/>
  <c r="M405" i="10"/>
  <c r="M404" i="10"/>
  <c r="M403" i="10"/>
  <c r="M402" i="10"/>
  <c r="M401" i="10"/>
  <c r="M400" i="10"/>
  <c r="M399" i="10"/>
  <c r="M398" i="10"/>
  <c r="M397" i="10"/>
  <c r="M396" i="10"/>
  <c r="M395" i="10"/>
  <c r="M394" i="10"/>
  <c r="M393" i="10"/>
  <c r="M392" i="10"/>
  <c r="M391" i="10"/>
  <c r="M390" i="10"/>
  <c r="M389" i="10"/>
  <c r="M388" i="10"/>
  <c r="M387" i="10"/>
  <c r="M386" i="10"/>
  <c r="M385" i="10"/>
  <c r="M384" i="10"/>
  <c r="M383" i="10"/>
  <c r="M382" i="10"/>
  <c r="M381" i="10"/>
  <c r="M380" i="10"/>
  <c r="M379" i="10"/>
  <c r="M378" i="10"/>
  <c r="M377" i="10"/>
  <c r="M376" i="10"/>
  <c r="M375" i="10"/>
  <c r="M374" i="10"/>
  <c r="M373" i="10"/>
  <c r="M372" i="10"/>
  <c r="M371" i="10"/>
  <c r="M370" i="10"/>
  <c r="M369" i="10"/>
  <c r="M368" i="10"/>
  <c r="M367" i="10"/>
  <c r="M366" i="10"/>
  <c r="M365" i="10"/>
  <c r="M364" i="10"/>
  <c r="M363" i="10"/>
  <c r="M362" i="10"/>
  <c r="M361" i="10"/>
  <c r="M360" i="10"/>
  <c r="M359" i="10"/>
  <c r="M358" i="10"/>
  <c r="M357" i="10"/>
  <c r="M356" i="10"/>
  <c r="M355" i="10"/>
  <c r="M354" i="10"/>
  <c r="M353" i="10"/>
  <c r="M352" i="10"/>
  <c r="M351" i="10"/>
  <c r="M350" i="10"/>
  <c r="M349" i="10"/>
  <c r="M348" i="10"/>
  <c r="M347" i="10"/>
  <c r="M346" i="10"/>
  <c r="M345" i="10"/>
  <c r="M344" i="10"/>
  <c r="M343" i="10"/>
  <c r="M342" i="10"/>
  <c r="M341" i="10"/>
  <c r="M340" i="10"/>
  <c r="M339" i="10"/>
  <c r="M338" i="10"/>
  <c r="M337" i="10"/>
  <c r="M336" i="10"/>
  <c r="M335" i="10"/>
  <c r="M334" i="10"/>
  <c r="M333" i="10"/>
  <c r="M332" i="10"/>
  <c r="M331" i="10"/>
  <c r="M330" i="10"/>
  <c r="M329" i="10"/>
  <c r="M328" i="10"/>
  <c r="M327" i="10"/>
  <c r="M326" i="10"/>
  <c r="M325" i="10"/>
  <c r="M324" i="10"/>
  <c r="M323" i="10"/>
  <c r="M322" i="10"/>
  <c r="M321" i="10"/>
  <c r="M320" i="10"/>
  <c r="M319" i="10"/>
  <c r="M318" i="10"/>
  <c r="M317" i="10"/>
  <c r="M316" i="10"/>
  <c r="M315" i="10"/>
  <c r="M314" i="10"/>
  <c r="M313" i="10"/>
  <c r="M312" i="10"/>
  <c r="M311" i="10"/>
  <c r="M310" i="10"/>
  <c r="M309" i="10"/>
  <c r="M308" i="10"/>
  <c r="M307" i="10"/>
  <c r="M306" i="10"/>
  <c r="M305" i="10"/>
  <c r="M304" i="10"/>
  <c r="M303" i="10"/>
  <c r="M302" i="10"/>
  <c r="M301" i="10"/>
  <c r="M300" i="10"/>
  <c r="M299" i="10"/>
  <c r="M298" i="10"/>
  <c r="M297" i="10"/>
  <c r="M296" i="10"/>
  <c r="M295" i="10"/>
  <c r="M294" i="10"/>
  <c r="M293" i="10"/>
  <c r="M292" i="10"/>
  <c r="M291" i="10"/>
  <c r="M290" i="10"/>
  <c r="M289" i="10"/>
  <c r="M288" i="10"/>
  <c r="M287" i="10"/>
  <c r="M286" i="10"/>
  <c r="M285" i="10"/>
  <c r="M284" i="10"/>
  <c r="M283" i="10"/>
  <c r="M282" i="10"/>
  <c r="M281" i="10"/>
  <c r="M280" i="10"/>
  <c r="M279" i="10"/>
  <c r="M278" i="10"/>
  <c r="M277" i="10"/>
  <c r="M276" i="10"/>
  <c r="M275" i="10"/>
  <c r="M274" i="10"/>
  <c r="M273" i="10"/>
  <c r="M272" i="10"/>
  <c r="M271" i="10"/>
  <c r="M270" i="10"/>
  <c r="M269" i="10"/>
  <c r="M268" i="10"/>
  <c r="M267" i="10"/>
  <c r="M266" i="10"/>
  <c r="M265" i="10"/>
  <c r="M264" i="10"/>
  <c r="M263" i="10"/>
  <c r="M262" i="10"/>
  <c r="M261" i="10"/>
  <c r="M260" i="10"/>
  <c r="M259" i="10"/>
  <c r="M258" i="10"/>
  <c r="M257" i="10"/>
  <c r="M256" i="10"/>
  <c r="M255" i="10"/>
  <c r="M254" i="10"/>
  <c r="M253" i="10"/>
  <c r="M252" i="10"/>
  <c r="M251" i="10"/>
  <c r="M250" i="10"/>
  <c r="M249" i="10"/>
  <c r="M248" i="10"/>
  <c r="M247" i="10"/>
  <c r="M246" i="10"/>
  <c r="M245" i="10"/>
  <c r="M244" i="10"/>
  <c r="M243" i="10"/>
  <c r="M242" i="10"/>
  <c r="M241" i="10"/>
  <c r="M240" i="10"/>
  <c r="M239" i="10"/>
  <c r="M238" i="10"/>
  <c r="M237" i="10"/>
  <c r="M236" i="10"/>
  <c r="M235" i="10"/>
  <c r="M234" i="10"/>
  <c r="M233" i="10"/>
  <c r="M232" i="10"/>
  <c r="M231" i="10"/>
  <c r="M230" i="10"/>
  <c r="M229" i="10"/>
  <c r="M228" i="10"/>
  <c r="M227" i="10"/>
  <c r="M226" i="10"/>
  <c r="M225" i="10"/>
  <c r="M224" i="10"/>
  <c r="M223" i="10"/>
  <c r="M222" i="10"/>
  <c r="M221" i="10"/>
  <c r="M220" i="10"/>
  <c r="M219" i="10"/>
  <c r="M218" i="10"/>
  <c r="M217" i="10"/>
  <c r="M216" i="10"/>
  <c r="M215" i="10"/>
  <c r="M214" i="10"/>
  <c r="M213" i="10"/>
  <c r="M212" i="10"/>
  <c r="M211" i="10"/>
  <c r="M210" i="10"/>
  <c r="M209" i="10"/>
  <c r="M208" i="10"/>
  <c r="M207" i="10"/>
  <c r="M206" i="10"/>
  <c r="M205" i="10"/>
  <c r="M204" i="10"/>
  <c r="M203" i="10"/>
  <c r="M202" i="10"/>
  <c r="M201" i="10"/>
  <c r="M200" i="10"/>
  <c r="M199" i="10"/>
  <c r="M198" i="10"/>
  <c r="M197" i="10"/>
  <c r="M196" i="10"/>
  <c r="M195" i="10"/>
  <c r="M194" i="10"/>
  <c r="M193" i="10"/>
  <c r="M192" i="10"/>
  <c r="M191" i="10"/>
  <c r="M190" i="10"/>
  <c r="M189" i="10"/>
  <c r="M188" i="10"/>
  <c r="M187" i="10"/>
  <c r="M186" i="10"/>
  <c r="M185" i="10"/>
  <c r="M184" i="10"/>
  <c r="M183" i="10"/>
  <c r="M182" i="10"/>
  <c r="M181" i="10"/>
  <c r="M180" i="10"/>
  <c r="M179" i="10"/>
  <c r="M178" i="10"/>
  <c r="M177" i="10"/>
  <c r="M176" i="10"/>
  <c r="M175" i="10"/>
  <c r="M174" i="10"/>
  <c r="M173" i="10"/>
  <c r="M172" i="10"/>
  <c r="M171" i="10"/>
  <c r="M170" i="10"/>
  <c r="M169" i="10"/>
  <c r="M168" i="10"/>
  <c r="M167" i="10"/>
  <c r="M166" i="10"/>
  <c r="M165" i="10"/>
  <c r="M164" i="10"/>
  <c r="M163" i="10"/>
  <c r="M162" i="10"/>
  <c r="M161" i="10"/>
  <c r="M160" i="10"/>
  <c r="M159" i="10"/>
  <c r="M158" i="10"/>
  <c r="M157" i="10"/>
  <c r="M156" i="10"/>
  <c r="M155" i="10"/>
  <c r="M154" i="10"/>
  <c r="M153" i="10"/>
  <c r="M152" i="10"/>
  <c r="M151" i="10"/>
  <c r="M150" i="10"/>
  <c r="M149" i="10"/>
  <c r="M148" i="10"/>
  <c r="M147" i="10"/>
  <c r="M146" i="10"/>
  <c r="M145" i="10"/>
  <c r="M144" i="10"/>
  <c r="M143" i="10"/>
  <c r="M142" i="10"/>
  <c r="M141" i="10"/>
  <c r="M140" i="10"/>
  <c r="M139" i="10"/>
  <c r="M138" i="10"/>
  <c r="M137" i="10"/>
  <c r="M136" i="10"/>
  <c r="M135" i="10"/>
  <c r="M134" i="10"/>
  <c r="M133" i="10"/>
  <c r="M132" i="10"/>
  <c r="M131" i="10"/>
  <c r="M130" i="10"/>
  <c r="M129" i="10"/>
  <c r="M128" i="10"/>
  <c r="M127" i="10"/>
  <c r="M126" i="10"/>
  <c r="M125" i="10"/>
  <c r="M124" i="10"/>
  <c r="M123" i="10"/>
  <c r="M122" i="10"/>
  <c r="M121" i="10"/>
  <c r="M120" i="10"/>
  <c r="M119" i="10"/>
  <c r="M118" i="10"/>
  <c r="M117" i="10"/>
  <c r="M116" i="10"/>
  <c r="M115" i="10"/>
  <c r="M114" i="10"/>
  <c r="M113" i="10"/>
  <c r="M112" i="10"/>
  <c r="M111" i="10"/>
  <c r="M110" i="10"/>
  <c r="M109" i="10"/>
  <c r="M108" i="10"/>
  <c r="M107" i="10"/>
  <c r="M106" i="10"/>
  <c r="M105" i="10"/>
  <c r="M104" i="10"/>
  <c r="M103" i="10"/>
  <c r="M102" i="10"/>
  <c r="M101" i="10"/>
  <c r="M100" i="10"/>
  <c r="M99" i="10"/>
  <c r="M98" i="10"/>
  <c r="M97" i="10"/>
  <c r="M96" i="10"/>
  <c r="M95" i="10"/>
  <c r="M94" i="10"/>
  <c r="M93" i="10"/>
  <c r="M92" i="10"/>
  <c r="M91" i="10"/>
  <c r="M90" i="10"/>
  <c r="M89" i="10"/>
  <c r="M88" i="10"/>
  <c r="M87" i="10"/>
  <c r="M86" i="10"/>
  <c r="M85" i="10"/>
  <c r="M84" i="10"/>
  <c r="M83" i="10"/>
  <c r="M82" i="10"/>
  <c r="M81" i="10"/>
  <c r="M80" i="10"/>
  <c r="M79" i="10"/>
  <c r="M78" i="10"/>
  <c r="M77" i="10"/>
  <c r="M76" i="10"/>
  <c r="M75" i="10"/>
  <c r="M74" i="10"/>
  <c r="M73" i="10"/>
  <c r="M72" i="10"/>
  <c r="M71" i="10"/>
  <c r="M70" i="10"/>
  <c r="M69" i="10"/>
  <c r="M68" i="10"/>
  <c r="M67" i="10"/>
  <c r="M66" i="10"/>
  <c r="M65" i="10"/>
  <c r="M64" i="10"/>
  <c r="M63" i="10"/>
  <c r="M62" i="10"/>
  <c r="M61" i="10"/>
  <c r="M60" i="10"/>
  <c r="M59" i="10"/>
  <c r="M58" i="10"/>
  <c r="M57" i="10"/>
  <c r="M56" i="10"/>
  <c r="M55" i="10"/>
  <c r="M54" i="10"/>
  <c r="M53" i="10"/>
  <c r="M52" i="10"/>
  <c r="M51" i="10"/>
  <c r="M50" i="10"/>
  <c r="M49" i="10"/>
  <c r="M48" i="10"/>
  <c r="M47" i="10"/>
  <c r="M46" i="10"/>
  <c r="M45" i="10"/>
  <c r="M44" i="10"/>
  <c r="M43" i="10"/>
  <c r="M42" i="10"/>
  <c r="M41" i="10"/>
  <c r="M40" i="10"/>
  <c r="M39" i="10"/>
  <c r="M38" i="10"/>
  <c r="M37" i="10"/>
  <c r="M36" i="10"/>
  <c r="M35" i="10"/>
  <c r="M34" i="10"/>
  <c r="M33" i="10"/>
  <c r="M32" i="10"/>
  <c r="M31" i="10"/>
  <c r="M30" i="10"/>
  <c r="M29" i="10"/>
  <c r="M28" i="10"/>
  <c r="M27" i="10"/>
  <c r="M26" i="10"/>
  <c r="M25" i="10"/>
  <c r="M24" i="10"/>
  <c r="M23" i="10"/>
  <c r="M22" i="10"/>
  <c r="M21" i="10"/>
  <c r="M20" i="10"/>
  <c r="M19" i="10"/>
  <c r="M18" i="10"/>
  <c r="M17" i="10"/>
  <c r="M16" i="10"/>
  <c r="M15" i="10"/>
  <c r="M14" i="10"/>
  <c r="M13" i="10"/>
  <c r="A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J8" authorId="0" shapeId="0" xr:uid="{FA0046AD-3B2D-4AEE-A110-D971F19B076E}">
      <text>
        <r>
          <rPr>
            <b/>
            <sz val="10"/>
            <color indexed="81"/>
            <rFont val="MS P ゴシック"/>
            <family val="3"/>
            <charset val="128"/>
          </rPr>
          <t>一括希望：ビリングステーションのダウンロードファイルをまとめます。
請求書をまとめる指定ではありません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J8" authorId="0" shapeId="0" xr:uid="{7C022B6F-8119-489A-AFFB-F2B2E8C1F01A}">
      <text>
        <r>
          <rPr>
            <b/>
            <sz val="10"/>
            <color indexed="81"/>
            <rFont val="MS P ゴシック"/>
            <family val="3"/>
            <charset val="128"/>
          </rPr>
          <t>一括希望：ビリングステーションのダウンロードファイルをまとめます。
請求書をまとめる指定ではありません</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<sst xmlns="http://schemas.openxmlformats.org/spreadsheetml/2006/main" count="288" uniqueCount="205">
  <si>
    <t>ver.</t>
    <phoneticPr fontId="1"/>
  </si>
  <si>
    <t>■ご契約者情報</t>
    <rPh sb="2" eb="5">
      <t>ケイヤクシャ</t>
    </rPh>
    <rPh sb="5" eb="7">
      <t>ジョウホウ</t>
    </rPh>
    <phoneticPr fontId="1"/>
  </si>
  <si>
    <t>年/月/日の順でご記入ください
（例）2023/7/25</t>
    <rPh sb="0" eb="1">
      <t>ネン</t>
    </rPh>
    <rPh sb="2" eb="3">
      <t>ガツ</t>
    </rPh>
    <rPh sb="4" eb="5">
      <t>ヒ</t>
    </rPh>
    <rPh sb="6" eb="7">
      <t>ジュン</t>
    </rPh>
    <rPh sb="9" eb="11">
      <t>キニュウ</t>
    </rPh>
    <rPh sb="17" eb="18">
      <t>レイ</t>
    </rPh>
    <phoneticPr fontId="1"/>
  </si>
  <si>
    <t>フリガナ（全角カタカナ）</t>
    <phoneticPr fontId="1"/>
  </si>
  <si>
    <t>全角カタカナでご記入ください</t>
    <rPh sb="0" eb="2">
      <t>ゼンカク</t>
    </rPh>
    <rPh sb="8" eb="10">
      <t>キニュウ</t>
    </rPh>
    <phoneticPr fontId="1"/>
  </si>
  <si>
    <t>「株式会社」等もご記入ください</t>
    <rPh sb="1" eb="3">
      <t>カブシキ</t>
    </rPh>
    <rPh sb="3" eb="5">
      <t>カイシャ</t>
    </rPh>
    <rPh sb="6" eb="7">
      <t>トウ</t>
    </rPh>
    <rPh sb="9" eb="11">
      <t>キニュウ</t>
    </rPh>
    <phoneticPr fontId="1"/>
  </si>
  <si>
    <t>〒</t>
    <phoneticPr fontId="1"/>
  </si>
  <si>
    <t>ハイフンは不要です。</t>
    <rPh sb="5" eb="7">
      <t>フヨウ</t>
    </rPh>
    <phoneticPr fontId="1"/>
  </si>
  <si>
    <t>※ ご契約者連絡先</t>
    <rPh sb="3" eb="6">
      <t>ケイヤクシャ</t>
    </rPh>
    <rPh sb="6" eb="9">
      <t>レンラクサキ</t>
    </rPh>
    <phoneticPr fontId="1"/>
  </si>
  <si>
    <t>部署名</t>
    <rPh sb="0" eb="2">
      <t>ブショ</t>
    </rPh>
    <rPh sb="2" eb="3">
      <t>メイ</t>
    </rPh>
    <phoneticPr fontId="1"/>
  </si>
  <si>
    <t>■ビリングステーションご利用に必要な情報</t>
    <rPh sb="12" eb="14">
      <t>リヨウ</t>
    </rPh>
    <rPh sb="15" eb="17">
      <t>ヒツヨウ</t>
    </rPh>
    <rPh sb="18" eb="20">
      <t>ジョウホウ</t>
    </rPh>
    <phoneticPr fontId="1"/>
  </si>
  <si>
    <t>※ 認証キー
（英数字６桁で決めてください）</t>
    <rPh sb="2" eb="4">
      <t>ニンショウ</t>
    </rPh>
    <rPh sb="8" eb="11">
      <t>エイスウジ</t>
    </rPh>
    <rPh sb="12" eb="13">
      <t>ケタ</t>
    </rPh>
    <rPh sb="14" eb="15">
      <t>キ</t>
    </rPh>
    <phoneticPr fontId="1"/>
  </si>
  <si>
    <t>初回ログイン時に必要なキーワードです。
英数字６桁でお決めの上記載ください。
登録完了まで失くさずお持ちください。</t>
    <rPh sb="0" eb="2">
      <t>ショカイ</t>
    </rPh>
    <rPh sb="6" eb="7">
      <t>ジ</t>
    </rPh>
    <rPh sb="8" eb="10">
      <t>ヒツヨウ</t>
    </rPh>
    <rPh sb="20" eb="23">
      <t>エイスウジ</t>
    </rPh>
    <rPh sb="24" eb="25">
      <t>ケタ</t>
    </rPh>
    <rPh sb="27" eb="28">
      <t>キ</t>
    </rPh>
    <rPh sb="30" eb="31">
      <t>ウエ</t>
    </rPh>
    <rPh sb="31" eb="33">
      <t>キサイ</t>
    </rPh>
    <rPh sb="39" eb="41">
      <t>トウロク</t>
    </rPh>
    <rPh sb="41" eb="43">
      <t>カンリョウ</t>
    </rPh>
    <rPh sb="45" eb="46">
      <t>ナ</t>
    </rPh>
    <rPh sb="50" eb="51">
      <t>モ</t>
    </rPh>
    <phoneticPr fontId="1"/>
  </si>
  <si>
    <t>番号別明細内訳書
データ形式
（csv/固定長）</t>
    <rPh sb="12" eb="14">
      <t>ケイシキ</t>
    </rPh>
    <rPh sb="20" eb="23">
      <t>コテイチョウ</t>
    </rPh>
    <phoneticPr fontId="1"/>
  </si>
  <si>
    <t>Excel表示にはcsv形式を選択ください。
ご請求番号が数字11桁の専用線サービスをご利用のお客さまは固定長のみの提供になります。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</si>
  <si>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■以下はご記入不要です</t>
    <rPh sb="1" eb="3">
      <t>イカ</t>
    </rPh>
    <rPh sb="5" eb="7">
      <t>キニュウ</t>
    </rPh>
    <rPh sb="7" eb="9">
      <t>フヨウ</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</si>
  <si>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</si>
  <si>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</si>
  <si>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</si>
  <si>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販売担当者</t>
    <rPh sb="0" eb="2">
      <t>ハンバイ</t>
    </rPh>
    <rPh sb="2" eb="5">
      <t>タントウシャ</t>
    </rPh>
    <phoneticPr fontId="1"/>
  </si>
  <si>
    <t>販売担当者　部署名</t>
    <phoneticPr fontId="1"/>
  </si>
  <si>
    <t>販売担当者　担当者名</t>
    <phoneticPr fontId="1"/>
  </si>
  <si>
    <t>販売担当者　電話番号</t>
    <phoneticPr fontId="1"/>
  </si>
  <si>
    <t>販売担当者　メールアドレス</t>
    <phoneticPr fontId="1"/>
  </si>
  <si>
    <t>項番</t>
    <rPh sb="0" eb="2">
      <t>コウバン</t>
    </rPh>
    <phoneticPr fontId="1"/>
  </si>
  <si>
    <t>申込書バージョン</t>
    <rPh sb="0" eb="3">
      <t>モウシコミショ</t>
    </rPh>
    <phoneticPr fontId="1"/>
  </si>
  <si>
    <t>様式</t>
    <rPh sb="0" eb="2">
      <t>ヨウシキ</t>
    </rPh>
    <phoneticPr fontId="1"/>
  </si>
  <si>
    <t>バージョン</t>
    <phoneticPr fontId="1"/>
  </si>
  <si>
    <t>名称</t>
    <rPh sb="0" eb="2">
      <t>メイショウ</t>
    </rPh>
    <phoneticPr fontId="1"/>
  </si>
  <si>
    <t>新規申込書</t>
  </si>
  <si>
    <t>新規は０固定↓</t>
    <rPh sb="0" eb="2">
      <t>シンキ</t>
    </rPh>
    <rPh sb="4" eb="6">
      <t>コテイ</t>
    </rPh>
    <phoneticPr fontId="1"/>
  </si>
  <si>
    <t>新規申込書</t>
    <rPh sb="0" eb="2">
      <t>シンキ</t>
    </rPh>
    <rPh sb="2" eb="5">
      <t>モウシコミショ</t>
    </rPh>
    <phoneticPr fontId="1"/>
  </si>
  <si>
    <t>applicationArrivalDate</t>
    <phoneticPr fontId="1"/>
  </si>
  <si>
    <t>contractCustomerNameKana</t>
    <phoneticPr fontId="1"/>
  </si>
  <si>
    <t>contractCustomerName</t>
    <phoneticPr fontId="1"/>
  </si>
  <si>
    <t>meigiHenkou</t>
    <phoneticPr fontId="1"/>
  </si>
  <si>
    <t>contractCustomerPostalNumber</t>
    <phoneticPr fontId="1"/>
  </si>
  <si>
    <t>contractCustomerAddress</t>
    <phoneticPr fontId="1"/>
  </si>
  <si>
    <t>billingStationPhoneNumber</t>
    <phoneticPr fontId="1"/>
  </si>
  <si>
    <t>billingStationDeptNameKana</t>
  </si>
  <si>
    <t>billingStationDeptName</t>
    <phoneticPr fontId="1"/>
  </si>
  <si>
    <t>billingStationPersonKana</t>
    <phoneticPr fontId="1"/>
  </si>
  <si>
    <t>billingStationPerson</t>
  </si>
  <si>
    <t>billingStationCustomerMailAddress</t>
    <phoneticPr fontId="1"/>
  </si>
  <si>
    <t>billingStationAuthKey</t>
    <phoneticPr fontId="1"/>
  </si>
  <si>
    <t>billingStationCustomerNumber</t>
    <phoneticPr fontId="1"/>
  </si>
  <si>
    <t>comment</t>
  </si>
  <si>
    <t>salesChannelDeptName</t>
  </si>
  <si>
    <t>salesChannelPersonName</t>
  </si>
  <si>
    <t>salesChannelPhoneNumber</t>
  </si>
  <si>
    <t>salesChannelMailAddress</t>
  </si>
  <si>
    <t>ファイル名</t>
    <rPh sb="4" eb="5">
      <t>メイ</t>
    </rPh>
    <phoneticPr fontId="1"/>
  </si>
  <si>
    <t>お申込年月日</t>
    <phoneticPr fontId="1"/>
  </si>
  <si>
    <t>ご契約者名（会社名）フリガナ</t>
    <phoneticPr fontId="1"/>
  </si>
  <si>
    <t>ご契約者名（会社名）</t>
    <phoneticPr fontId="1"/>
  </si>
  <si>
    <t>ご契約名義変更フラグ</t>
    <phoneticPr fontId="1"/>
  </si>
  <si>
    <t>郵便番号</t>
    <rPh sb="0" eb="4">
      <t>ユウビンバンゴウ</t>
    </rPh>
    <phoneticPr fontId="1"/>
  </si>
  <si>
    <t>ご契約者連絡先　電話番号</t>
  </si>
  <si>
    <t>ご契約者連絡先　部署名フリガナ</t>
    <phoneticPr fontId="1"/>
  </si>
  <si>
    <t>ご契約者連絡先　部署名</t>
    <rPh sb="1" eb="4">
      <t>ケイヤクシャ</t>
    </rPh>
    <rPh sb="4" eb="7">
      <t>レンラクサキ</t>
    </rPh>
    <rPh sb="8" eb="10">
      <t>ブショ</t>
    </rPh>
    <rPh sb="10" eb="11">
      <t>メイ</t>
    </rPh>
    <phoneticPr fontId="1"/>
  </si>
  <si>
    <t>ご契約者連絡先　担当者名フリガナ</t>
    <phoneticPr fontId="1"/>
  </si>
  <si>
    <t>ご契約者連絡先　担当者名</t>
    <phoneticPr fontId="1"/>
  </si>
  <si>
    <t>メールアドレス</t>
    <phoneticPr fontId="1"/>
  </si>
  <si>
    <t>認証キー</t>
    <phoneticPr fontId="1"/>
  </si>
  <si>
    <t>ご利用データ形式（新規）</t>
    <phoneticPr fontId="1"/>
  </si>
  <si>
    <t>BSお客様番号</t>
  </si>
  <si>
    <t>備考</t>
  </si>
  <si>
    <t>販売担当者　部署名</t>
  </si>
  <si>
    <t>販売担当者　担当者名</t>
  </si>
  <si>
    <t>販売担当者　電話番号</t>
  </si>
  <si>
    <t>販売担当者　メールアドレス</t>
  </si>
  <si>
    <t>bs-new.xlsx</t>
    <phoneticPr fontId="1"/>
  </si>
  <si>
    <t>一括フラグ（ACCEL）</t>
    <rPh sb="0" eb="2">
      <t>イッカツ</t>
    </rPh>
    <phoneticPr fontId="1"/>
  </si>
  <si>
    <t>取得要否</t>
    <rPh sb="0" eb="2">
      <t>シュトク</t>
    </rPh>
    <rPh sb="2" eb="4">
      <t>ヨウヒ</t>
    </rPh>
    <phoneticPr fontId="1"/>
  </si>
  <si>
    <t>分割番号（BELUGA）</t>
    <phoneticPr fontId="1"/>
  </si>
  <si>
    <t>番号別明細内訳書
データ形式</t>
    <phoneticPr fontId="1"/>
  </si>
  <si>
    <t>csv</t>
    <phoneticPr fontId="1"/>
  </si>
  <si>
    <t>固定長</t>
    <rPh sb="0" eb="3">
      <t>コテイチョウ</t>
    </rPh>
    <phoneticPr fontId="1"/>
  </si>
  <si>
    <t>一括希望</t>
  </si>
  <si>
    <t>一括希望する</t>
    <phoneticPr fontId="1"/>
  </si>
  <si>
    <t>一括希望しない</t>
    <rPh sb="0" eb="2">
      <t>イッカツ</t>
    </rPh>
    <rPh sb="2" eb="4">
      <t>キボウ</t>
    </rPh>
    <phoneticPr fontId="1"/>
  </si>
  <si>
    <t>contractCustomerAddress2</t>
    <phoneticPr fontId="1"/>
  </si>
  <si>
    <t>ご契約者住所2</t>
    <phoneticPr fontId="1"/>
  </si>
  <si>
    <t>ご契約者住所</t>
    <phoneticPr fontId="1"/>
  </si>
  <si>
    <t>住所は都道府県から全てご記入ください。</t>
    <rPh sb="0" eb="2">
      <t>ジュウショ</t>
    </rPh>
    <rPh sb="3" eb="7">
      <t>トドウフケン</t>
    </rPh>
    <rPh sb="9" eb="10">
      <t>スベ</t>
    </rPh>
    <rPh sb="12" eb="14">
      <t>キニュウ</t>
    </rPh>
    <phoneticPr fontId="1"/>
  </si>
  <si>
    <t>ビル・マンション名等漏れなくご記入ください。</t>
    <rPh sb="8" eb="9">
      <t>メイ</t>
    </rPh>
    <rPh sb="9" eb="10">
      <t>ナド</t>
    </rPh>
    <rPh sb="10" eb="11">
      <t>モ</t>
    </rPh>
    <rPh sb="15" eb="17">
      <t>キニュウ</t>
    </rPh>
    <phoneticPr fontId="1"/>
  </si>
  <si>
    <t>新規は空</t>
    <rPh sb="0" eb="2">
      <t>シンキ</t>
    </rPh>
    <rPh sb="3" eb="4">
      <t>カラ</t>
    </rPh>
    <phoneticPr fontId="1"/>
  </si>
  <si>
    <t>別紙：　対象のご請求番号一覧（番号別明細内訳書)</t>
    <phoneticPr fontId="17"/>
  </si>
  <si>
    <t>項番</t>
  </si>
  <si>
    <t>選択項目</t>
    <rPh sb="0" eb="2">
      <t>センタク</t>
    </rPh>
    <rPh sb="2" eb="4">
      <t>コウモク</t>
    </rPh>
    <phoneticPr fontId="17"/>
  </si>
  <si>
    <t>1／2／3</t>
    <phoneticPr fontId="17"/>
  </si>
  <si>
    <t>分割有無</t>
    <rPh sb="0" eb="2">
      <t>ブンカツ</t>
    </rPh>
    <rPh sb="2" eb="4">
      <t>ウム</t>
    </rPh>
    <phoneticPr fontId="1"/>
  </si>
  <si>
    <t>R123456789</t>
    <phoneticPr fontId="1"/>
  </si>
  <si>
    <t>なし</t>
  </si>
  <si>
    <t>例１</t>
    <rPh sb="0" eb="1">
      <t>レイ</t>
    </rPh>
    <phoneticPr fontId="1"/>
  </si>
  <si>
    <t>例２</t>
    <rPh sb="0" eb="1">
      <t>レイ</t>
    </rPh>
    <phoneticPr fontId="1"/>
  </si>
  <si>
    <t>例３</t>
    <rPh sb="0" eb="1">
      <t>レイ</t>
    </rPh>
    <phoneticPr fontId="1"/>
  </si>
  <si>
    <t>用途</t>
    <rPh sb="0" eb="2">
      <t>ヨウト</t>
    </rPh>
    <phoneticPr fontId="1"/>
  </si>
  <si>
    <t>お客様</t>
    <rPh sb="1" eb="3">
      <t>キャクサマ</t>
    </rPh>
    <phoneticPr fontId="1"/>
  </si>
  <si>
    <t>フラグ</t>
    <phoneticPr fontId="1"/>
  </si>
  <si>
    <t>1234123123</t>
    <phoneticPr fontId="1"/>
  </si>
  <si>
    <t>番明</t>
    <rPh sb="0" eb="1">
      <t>バン</t>
    </rPh>
    <rPh sb="1" eb="2">
      <t>メイ</t>
    </rPh>
    <phoneticPr fontId="1"/>
  </si>
  <si>
    <t>請求種別</t>
    <rPh sb="0" eb="2">
      <t>セイキュウ</t>
    </rPh>
    <rPh sb="2" eb="4">
      <t>シュベツ</t>
    </rPh>
    <phoneticPr fontId="1"/>
  </si>
  <si>
    <t>申込区分</t>
    <rPh sb="0" eb="2">
      <t>モウシコミ</t>
    </rPh>
    <rPh sb="2" eb="4">
      <t>クブン</t>
    </rPh>
    <phoneticPr fontId="1"/>
  </si>
  <si>
    <t>ご請求番号</t>
    <rPh sb="1" eb="3">
      <t>セイキュウ</t>
    </rPh>
    <rPh sb="3" eb="5">
      <t>バンゴウ</t>
    </rPh>
    <phoneticPr fontId="1"/>
  </si>
  <si>
    <t>ご契約番号</t>
    <rPh sb="1" eb="3">
      <t>ケイヤク</t>
    </rPh>
    <rPh sb="3" eb="5">
      <t>バンゴウ</t>
    </rPh>
    <phoneticPr fontId="1"/>
  </si>
  <si>
    <t>shubetsu##</t>
    <phoneticPr fontId="1"/>
  </si>
  <si>
    <t>会社コード有無</t>
    <rPh sb="0" eb="2">
      <t>カイシャ</t>
    </rPh>
    <rPh sb="5" eb="7">
      <t>ウム</t>
    </rPh>
    <phoneticPr fontId="1"/>
  </si>
  <si>
    <t>対象会社コード</t>
    <rPh sb="0" eb="2">
      <t>タイショウ</t>
    </rPh>
    <phoneticPr fontId="1"/>
  </si>
  <si>
    <t>お客様向け/社内向け</t>
    <rPh sb="1" eb="3">
      <t>キャクサマ</t>
    </rPh>
    <rPh sb="3" eb="4">
      <t>ム</t>
    </rPh>
    <rPh sb="6" eb="8">
      <t>シャナイ</t>
    </rPh>
    <rPh sb="8" eb="9">
      <t>ム</t>
    </rPh>
    <phoneticPr fontId="1"/>
  </si>
  <si>
    <t>keiyakuid##</t>
    <phoneticPr fontId="1"/>
  </si>
  <si>
    <t>billid##</t>
    <phoneticPr fontId="1"/>
  </si>
  <si>
    <t>請求番号ハイフンなし</t>
    <rPh sb="0" eb="2">
      <t>セイキュウ</t>
    </rPh>
    <rPh sb="2" eb="4">
      <t>バンゴウ</t>
    </rPh>
    <phoneticPr fontId="1"/>
  </si>
  <si>
    <t>3…数字7桁-5桁の専用線サービスお客さま番号　ハイフン（「－」）は無しで記載ください</t>
    <rPh sb="8" eb="9">
      <t>ケタ</t>
    </rPh>
    <rPh sb="18" eb="19">
      <t>キャク</t>
    </rPh>
    <rPh sb="21" eb="23">
      <t>バンゴウ</t>
    </rPh>
    <rPh sb="34" eb="35">
      <t>ナ</t>
    </rPh>
    <rPh sb="37" eb="39">
      <t>キサイ</t>
    </rPh>
    <phoneticPr fontId="17"/>
  </si>
  <si>
    <t>希望する</t>
  </si>
  <si>
    <t>お客さま用</t>
    <rPh sb="1" eb="2">
      <t>キャク</t>
    </rPh>
    <rPh sb="4" eb="5">
      <t>ヨウ</t>
    </rPh>
    <phoneticPr fontId="1"/>
  </si>
  <si>
    <t>このメールアドレスに初回ログインに必要な情報のダウンロードURLをお送りします。
※複数記入はできません。１つだけ記載ください</t>
    <rPh sb="10" eb="12">
      <t>ショカイ</t>
    </rPh>
    <rPh sb="17" eb="19">
      <t>ヒツヨウ</t>
    </rPh>
    <rPh sb="20" eb="22">
      <t>ジョウホウ</t>
    </rPh>
    <rPh sb="34" eb="35">
      <t>オク</t>
    </rPh>
    <rPh sb="42" eb="44">
      <t>フクスウ</t>
    </rPh>
    <rPh sb="44" eb="46">
      <t>キニュウ</t>
    </rPh>
    <rPh sb="57" eb="59">
      <t>キサイ</t>
    </rPh>
    <phoneticPr fontId="1"/>
  </si>
  <si>
    <t xml:space="preserve">        お申込年月日</t>
    <rPh sb="9" eb="10">
      <t>モウ</t>
    </rPh>
    <rPh sb="10" eb="11">
      <t>コ</t>
    </rPh>
    <rPh sb="11" eb="14">
      <t>ネンガッピ</t>
    </rPh>
    <phoneticPr fontId="1"/>
  </si>
  <si>
    <t xml:space="preserve">※ ご契約者名（会社名）
</t>
    <rPh sb="3" eb="6">
      <t>ケイヤクシャ</t>
    </rPh>
    <rPh sb="6" eb="7">
      <t>メイ</t>
    </rPh>
    <rPh sb="8" eb="11">
      <t>カイシャメイ</t>
    </rPh>
    <phoneticPr fontId="1"/>
  </si>
  <si>
    <t>※ 
ご契約者住所</t>
    <rPh sb="4" eb="6">
      <t>ケイヤク</t>
    </rPh>
    <rPh sb="6" eb="7">
      <t>モノ</t>
    </rPh>
    <rPh sb="7" eb="9">
      <t>ジュウショ</t>
    </rPh>
    <phoneticPr fontId="1"/>
  </si>
  <si>
    <t>建物名、部屋番号</t>
    <phoneticPr fontId="1"/>
  </si>
  <si>
    <t>123456712345</t>
    <phoneticPr fontId="1"/>
  </si>
  <si>
    <t>請求番号も契約番号も空白ならfalseでとらない（非表示行）</t>
    <rPh sb="0" eb="2">
      <t>セイキュウ</t>
    </rPh>
    <rPh sb="2" eb="4">
      <t>バンゴウ</t>
    </rPh>
    <rPh sb="5" eb="7">
      <t>ケイヤク</t>
    </rPh>
    <rPh sb="7" eb="9">
      <t>バンゴウ</t>
    </rPh>
    <rPh sb="10" eb="12">
      <t>クウハク</t>
    </rPh>
    <rPh sb="25" eb="28">
      <t>ヒヒョウジ</t>
    </rPh>
    <rPh sb="28" eb="29">
      <t>ギョウ</t>
    </rPh>
    <phoneticPr fontId="1"/>
  </si>
  <si>
    <r>
      <t xml:space="preserve">請求種別
</t>
    </r>
    <r>
      <rPr>
        <sz val="10"/>
        <rFont val="メイリオ"/>
        <family val="3"/>
        <charset val="128"/>
      </rPr>
      <t>(ご請求番号
記入時は
必須)</t>
    </r>
    <rPh sb="0" eb="4">
      <t>セイキュウシュベツ</t>
    </rPh>
    <rPh sb="7" eb="9">
      <t>セイキュウ</t>
    </rPh>
    <rPh sb="9" eb="11">
      <t>バンゴウ</t>
    </rPh>
    <rPh sb="12" eb="14">
      <t>キニュウ</t>
    </rPh>
    <rPh sb="14" eb="15">
      <t>ジ</t>
    </rPh>
    <rPh sb="17" eb="19">
      <t>ヒッス</t>
    </rPh>
    <phoneticPr fontId="17"/>
  </si>
  <si>
    <t>テキカクツイカカブシキガイシャ</t>
    <phoneticPr fontId="1"/>
  </si>
  <si>
    <t>適格追加株式会社</t>
    <phoneticPr fontId="1"/>
  </si>
  <si>
    <t>0049999</t>
    <phoneticPr fontId="1"/>
  </si>
  <si>
    <t>東京都千代田区大手町２－３－１</t>
    <phoneticPr fontId="1"/>
  </si>
  <si>
    <t>大手町プレイス１F</t>
    <phoneticPr fontId="1"/>
  </si>
  <si>
    <t>05011112222</t>
    <phoneticPr fontId="1"/>
  </si>
  <si>
    <t>ザイムブ</t>
    <phoneticPr fontId="1"/>
  </si>
  <si>
    <t>財務部</t>
    <phoneticPr fontId="1"/>
  </si>
  <si>
    <t>テキカクフジコ</t>
    <phoneticPr fontId="1"/>
  </si>
  <si>
    <t>適格藤子</t>
    <phoneticPr fontId="1"/>
  </si>
  <si>
    <t>csv</t>
  </si>
  <si>
    <t>zaimubu-ml@tekikakucorp.co.jp</t>
    <phoneticPr fontId="1"/>
  </si>
  <si>
    <t>teki48</t>
    <phoneticPr fontId="1"/>
  </si>
  <si>
    <t>申込プラン</t>
    <phoneticPr fontId="1"/>
  </si>
  <si>
    <t>※ 郵便番号（ハイフン不要）</t>
    <rPh sb="2" eb="6">
      <t>ユウビンバンゴウ</t>
    </rPh>
    <rPh sb="11" eb="13">
      <t>フヨウ</t>
    </rPh>
    <phoneticPr fontId="1"/>
  </si>
  <si>
    <t>※メールアドレス（複数入力不可）</t>
    <rPh sb="9" eb="11">
      <t>フクスウ</t>
    </rPh>
    <rPh sb="11" eb="13">
      <t>ニュウリョク</t>
    </rPh>
    <rPh sb="13" eb="15">
      <t>フカ</t>
    </rPh>
    <phoneticPr fontId="1"/>
  </si>
  <si>
    <t>ビリングステーションの機能をさらに活用</t>
    <rPh sb="11" eb="13">
      <t>キノウ</t>
    </rPh>
    <rPh sb="17" eb="19">
      <t>カツヨウ</t>
    </rPh>
    <phoneticPr fontId="1"/>
  </si>
  <si>
    <t>赤背景の場合ご請求番号を確認ください</t>
    <rPh sb="0" eb="1">
      <t>アカ</t>
    </rPh>
    <rPh sb="1" eb="3">
      <t>ハイケイ</t>
    </rPh>
    <rPh sb="4" eb="6">
      <t>バアイ</t>
    </rPh>
    <rPh sb="7" eb="9">
      <t>セイキュウ</t>
    </rPh>
    <rPh sb="9" eb="11">
      <t>バンゴウ</t>
    </rPh>
    <rPh sb="12" eb="14">
      <t>カクニン</t>
    </rPh>
    <phoneticPr fontId="1"/>
  </si>
  <si>
    <t>ご請求番号形式に誤りがある場合コメントを表示します</t>
    <rPh sb="1" eb="3">
      <t>セイキュウ</t>
    </rPh>
    <rPh sb="3" eb="5">
      <t>バンゴウ</t>
    </rPh>
    <rPh sb="5" eb="7">
      <t>ケイシキ</t>
    </rPh>
    <rPh sb="8" eb="9">
      <t>アヤマ</t>
    </rPh>
    <rPh sb="13" eb="15">
      <t>バアイ</t>
    </rPh>
    <rPh sb="20" eb="22">
      <t>ヒョウジ</t>
    </rPh>
    <phoneticPr fontId="1"/>
  </si>
  <si>
    <t>請求種別
（非表示）</t>
    <rPh sb="0" eb="4">
      <t>セイキュウシュベツ</t>
    </rPh>
    <rPh sb="6" eb="9">
      <t>ヒヒョウジ</t>
    </rPh>
    <phoneticPr fontId="17"/>
  </si>
  <si>
    <t>不明の場合「なし」</t>
    <phoneticPr fontId="17"/>
  </si>
  <si>
    <r>
      <t xml:space="preserve">一括希望
</t>
    </r>
    <r>
      <rPr>
        <sz val="10"/>
        <rFont val="メイリオ"/>
        <family val="3"/>
        <charset val="128"/>
      </rPr>
      <t>※「数字4桁-3桁-3桁のご請求番号」の場合のみ</t>
    </r>
    <rPh sb="0" eb="2">
      <t>イッカツ</t>
    </rPh>
    <rPh sb="2" eb="4">
      <t>キボウ</t>
    </rPh>
    <phoneticPr fontId="17"/>
  </si>
  <si>
    <t>csvデータダウンロードファイルをまとめる
不明の場合「希望しない」</t>
    <phoneticPr fontId="17"/>
  </si>
  <si>
    <r>
      <t xml:space="preserve">分割番号
</t>
    </r>
    <r>
      <rPr>
        <sz val="10"/>
        <color rgb="FF000000"/>
        <rFont val="メイリオ"/>
        <family val="3"/>
        <charset val="128"/>
      </rPr>
      <t xml:space="preserve">※Rから始まるご請求番号の場合のみ
</t>
    </r>
    <rPh sb="9" eb="10">
      <t>ハジ</t>
    </rPh>
    <rPh sb="13" eb="15">
      <t>セイキュウ</t>
    </rPh>
    <rPh sb="15" eb="17">
      <t>バンゴウ</t>
    </rPh>
    <rPh sb="18" eb="20">
      <t>バアイ</t>
    </rPh>
    <phoneticPr fontId="17"/>
  </si>
  <si>
    <t>適格請求書ダウンロード</t>
    <rPh sb="0" eb="2">
      <t>テキカク</t>
    </rPh>
    <rPh sb="2" eb="5">
      <t>セイキュウショ</t>
    </rPh>
    <phoneticPr fontId="1"/>
  </si>
  <si>
    <t>1…数字4桁-3桁-3桁のご請求番号　※ハイフン（「－」）は無しで記載ください</t>
    <phoneticPr fontId="17"/>
  </si>
  <si>
    <t>希望しない</t>
  </si>
  <si>
    <t>分割番号
（なしの場合記載不要）</t>
    <rPh sb="0" eb="2">
      <t>ブンカツ</t>
    </rPh>
    <rPh sb="2" eb="4">
      <t>バンゴウ</t>
    </rPh>
    <rPh sb="9" eb="11">
      <t>バアイ</t>
    </rPh>
    <rPh sb="11" eb="13">
      <t>キサイ</t>
    </rPh>
    <rPh sb="13" eb="15">
      <t>フヨウ</t>
    </rPh>
    <phoneticPr fontId="1"/>
  </si>
  <si>
    <t>ご請求番号
（ハイフン不要）</t>
    <rPh sb="11" eb="13">
      <t>フヨウ</t>
    </rPh>
    <phoneticPr fontId="17"/>
  </si>
  <si>
    <r>
      <t xml:space="preserve">ご契約番号
</t>
    </r>
    <r>
      <rPr>
        <sz val="9"/>
        <rFont val="メイリオ"/>
        <family val="3"/>
        <charset val="128"/>
      </rPr>
      <t>（ご請求番号がご不明な場合のみ）</t>
    </r>
    <phoneticPr fontId="17"/>
  </si>
  <si>
    <t>R711222333</t>
    <phoneticPr fontId="1"/>
  </si>
  <si>
    <t>0123123123</t>
    <phoneticPr fontId="1"/>
  </si>
  <si>
    <t>012345612345</t>
    <phoneticPr fontId="1"/>
  </si>
  <si>
    <t>R111222333</t>
    <phoneticPr fontId="1"/>
  </si>
  <si>
    <t>123456754321</t>
    <phoneticPr fontId="1"/>
  </si>
  <si>
    <t>変更はこちらだけ入る</t>
    <rPh sb="0" eb="2">
      <t>ヘンコウ</t>
    </rPh>
    <rPh sb="8" eb="9">
      <t>ハイ</t>
    </rPh>
    <phoneticPr fontId="1"/>
  </si>
  <si>
    <t>ご利用データ形式（変更）</t>
    <rPh sb="9" eb="11">
      <t>ヘンコウ</t>
    </rPh>
    <phoneticPr fontId="1"/>
  </si>
  <si>
    <t>新規と媒体はこちらだけ入る</t>
    <rPh sb="0" eb="2">
      <t>シンキ</t>
    </rPh>
    <rPh sb="3" eb="5">
      <t>バイタイ</t>
    </rPh>
    <rPh sb="11" eb="12">
      <t>ハイ</t>
    </rPh>
    <phoneticPr fontId="1"/>
  </si>
  <si>
    <t>billingStationPlan
新規はスタンダード固定</t>
    <rPh sb="19" eb="21">
      <t>シンキ</t>
    </rPh>
    <rPh sb="28" eb="30">
      <t>コテイ</t>
    </rPh>
    <phoneticPr fontId="1"/>
  </si>
  <si>
    <t>スタンダード</t>
    <phoneticPr fontId="1"/>
  </si>
  <si>
    <t>ハイフンぬき、大文字にする</t>
    <rPh sb="7" eb="10">
      <t>オオモジ</t>
    </rPh>
    <phoneticPr fontId="1"/>
  </si>
  <si>
    <t xml:space="preserve">        お申込年月日（年/月/日）</t>
    <rPh sb="9" eb="10">
      <t>モウ</t>
    </rPh>
    <rPh sb="10" eb="11">
      <t>コ</t>
    </rPh>
    <rPh sb="11" eb="14">
      <t>ネンガッピ</t>
    </rPh>
    <rPh sb="15" eb="16">
      <t>ネン</t>
    </rPh>
    <rPh sb="17" eb="18">
      <t>ガツ</t>
    </rPh>
    <rPh sb="19" eb="20">
      <t>ヒ</t>
    </rPh>
    <phoneticPr fontId="1"/>
  </si>
  <si>
    <t>新規はNull固定</t>
    <rPh sb="0" eb="2">
      <t>シンキ</t>
    </rPh>
    <rPh sb="7" eb="9">
      <t>コテイ</t>
    </rPh>
    <phoneticPr fontId="1"/>
  </si>
  <si>
    <t>YYYY/MM/DD
空欄の場合NULL</t>
    <phoneticPr fontId="1"/>
  </si>
  <si>
    <t>全角カナ80文字以内</t>
    <phoneticPr fontId="1"/>
  </si>
  <si>
    <t>全角40文字以内</t>
    <phoneticPr fontId="1"/>
  </si>
  <si>
    <t>半角数字7桁</t>
    <phoneticPr fontId="1"/>
  </si>
  <si>
    <t>全角128文字以内</t>
    <phoneticPr fontId="1"/>
  </si>
  <si>
    <t>全角40文字以内
空欄の場合NULL</t>
    <phoneticPr fontId="1"/>
  </si>
  <si>
    <t>半角数字10文字以上11文字以内</t>
    <phoneticPr fontId="1"/>
  </si>
  <si>
    <t>全角カナ80文字以内
空欄の場合NULL</t>
    <phoneticPr fontId="1"/>
  </si>
  <si>
    <t>全角50文字以内
空欄の場合NULL</t>
    <phoneticPr fontId="1"/>
  </si>
  <si>
    <t>全角カナ40文字以内
空欄の場合NULL</t>
    <phoneticPr fontId="1"/>
  </si>
  <si>
    <t>半角255文字以内
変更の場合NULL</t>
    <phoneticPr fontId="1"/>
  </si>
  <si>
    <t>全角20文字以内
空欄の場合NULL</t>
    <phoneticPr fontId="1"/>
  </si>
  <si>
    <t>半角英数字6桁
変更の場合NULL</t>
    <phoneticPr fontId="1"/>
  </si>
  <si>
    <t>csv/固定長
新規かつ空欄の場合csv
変更の場合NULL</t>
    <phoneticPr fontId="1"/>
  </si>
  <si>
    <t>変更しない/csv/固定長
変更かつ空欄の場合csv
新規の場合NULL</t>
    <phoneticPr fontId="1"/>
  </si>
  <si>
    <t>スタンダード/ダウンロード
新規の場合スタンダード
変更かつ未選択の場合スタンダード</t>
    <phoneticPr fontId="1"/>
  </si>
  <si>
    <t>初期値Null</t>
    <rPh sb="0" eb="3">
      <t>ショキチ</t>
    </rPh>
    <phoneticPr fontId="1"/>
  </si>
  <si>
    <t>「&amp;""」はつけない。Nullはダメ</t>
    <phoneticPr fontId="1"/>
  </si>
  <si>
    <t>※フリガナ（全角カタカナ）</t>
    <phoneticPr fontId="1"/>
  </si>
  <si>
    <t>※住所（番地号まで）</t>
    <phoneticPr fontId="1"/>
  </si>
  <si>
    <t>※電話番号（ハイフン不要）</t>
    <rPh sb="1" eb="3">
      <t>デンワ</t>
    </rPh>
    <rPh sb="3" eb="5">
      <t>バンゴウ</t>
    </rPh>
    <rPh sb="10" eb="12">
      <t>フヨウ</t>
    </rPh>
    <phoneticPr fontId="1"/>
  </si>
  <si>
    <t>※ご担当者名</t>
    <rPh sb="2" eb="5">
      <t>タントウシャ</t>
    </rPh>
    <rPh sb="5" eb="6">
      <t>メイ</t>
    </rPh>
    <phoneticPr fontId="1"/>
  </si>
  <si>
    <t>白背景部分を記入ください。
ご請求番号は以下の３つのいずれかの形式になります。オレンジ網掛けになる場合は形式エラーです。ご確認ください。</t>
    <rPh sb="0" eb="1">
      <t>シロ</t>
    </rPh>
    <rPh sb="1" eb="3">
      <t>ハイケイ</t>
    </rPh>
    <rPh sb="3" eb="5">
      <t>ブブン</t>
    </rPh>
    <rPh sb="6" eb="8">
      <t>キニュウ</t>
    </rPh>
    <rPh sb="15" eb="19">
      <t>セイキュウバンゴウ</t>
    </rPh>
    <rPh sb="20" eb="22">
      <t>イカ</t>
    </rPh>
    <rPh sb="31" eb="33">
      <t>ケイシキ</t>
    </rPh>
    <rPh sb="43" eb="45">
      <t>アミカ</t>
    </rPh>
    <rPh sb="49" eb="51">
      <t>バアイ</t>
    </rPh>
    <rPh sb="52" eb="54">
      <t>ケイシキ</t>
    </rPh>
    <rPh sb="61" eb="63">
      <t>カクニン</t>
    </rPh>
    <phoneticPr fontId="17"/>
  </si>
  <si>
    <t>https://support.ntt.com/business/inquiry/input/pid2200001z8u</t>
    <phoneticPr fontId="1"/>
  </si>
  <si>
    <r>
      <t>2…Rから始まるご請求番号　</t>
    </r>
    <r>
      <rPr>
        <sz val="12"/>
        <color rgb="FFFF0000"/>
        <rFont val="メイリオ"/>
        <family val="3"/>
        <charset val="128"/>
      </rPr>
      <t>※Zから始まる番号は以下の受付フォームからお申込ください。</t>
    </r>
    <rPh sb="18" eb="19">
      <t>ハジ</t>
    </rPh>
    <rPh sb="21" eb="23">
      <t>バンゴウ</t>
    </rPh>
    <rPh sb="24" eb="26">
      <t>イカ</t>
    </rPh>
    <rPh sb="27" eb="29">
      <t>ウケツケ</t>
    </rPh>
    <rPh sb="36" eb="38">
      <t>モウシコミ</t>
    </rPh>
    <phoneticPr fontId="17"/>
  </si>
  <si>
    <t>形式OK</t>
  </si>
  <si>
    <t>R111222331</t>
    <phoneticPr fontId="1"/>
  </si>
  <si>
    <t>123456754322</t>
    <phoneticPr fontId="1"/>
  </si>
  <si>
    <t>R711222331</t>
    <phoneticPr fontId="1"/>
  </si>
  <si>
    <t>0123123121</t>
    <phoneticPr fontId="1"/>
  </si>
  <si>
    <t>012345612341</t>
    <phoneticPr fontId="1"/>
  </si>
  <si>
    <t>エラー値の数をカウント</t>
    <phoneticPr fontId="1"/>
  </si>
  <si>
    <t>エラー数チェック</t>
    <phoneticPr fontId="1"/>
  </si>
  <si>
    <t>ご契約者名（会社名）フリガナ</t>
    <phoneticPr fontId="1"/>
  </si>
  <si>
    <t>ご契約者連絡先　部署名フリガナ</t>
    <phoneticPr fontId="1"/>
  </si>
  <si>
    <t>ご契約者連絡先　担当者名フリガナ</t>
    <phoneticPr fontId="1"/>
  </si>
  <si>
    <t>Excel表示にはcsv形式を選択ください。
ご請求番号が数字12桁の専用線サービスをご利用のお客さまは固定長のみの提供になります。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</si>
  <si>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本サービスについてプライバシーポリシー（https://www.ntt.com/about-us/hp/privacy.html）に同意し、
NTTドコモビジネス株式会社が定める
ビリングステーション利用規約に同意の上、下記の通り申込みます。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</si>
</sst>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_ "/>
    <numFmt numFmtId="177" formatCode="yyyy/mm/dd"/>
    <numFmt numFmtId="178" formatCode="0_);[Red]\(0\)"/>
    <numFmt numFmtId="179" formatCode="0_ "/>
  </numFmts>
  <fonts count="39">
    <font>
      <sz val="11"/>
      <name val="ＭＳ Ｐゴシック"/>
      <family val="3"/>
      <charset val="128"/>
    </font>
    <font>
      <sz val="6"/>
      <name val="ＭＳ Ｐゴシック"/>
      <family val="3"/>
      <charset val="128"/>
    </font>
    <font>
      <sz val="10"/>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18"/>
      <name val="ＭＳ Ｐゴシック"/>
      <family val="3"/>
      <charset val="128"/>
    </font>
    <font>
      <sz val="24"/>
      <name val="ＭＳ Ｐゴシック"/>
      <family val="3"/>
      <charset val="128"/>
    </font>
    <font>
      <sz val="11"/>
      <color theme="1"/>
      <name val="ＭＳ Ｐゴシック"/>
      <family val="3"/>
      <charset val="128"/>
      <scheme val="minor"/>
    </font>
    <font>
      <sz val="11"/>
      <color theme="1"/>
      <name val="ＭＳ Ｐゴシック"/>
      <family val="3"/>
      <charset val="128"/>
    </font>
    <font>
      <sz val="10"/>
      <color theme="1"/>
      <name val="メイリオ"/>
      <family val="2"/>
      <charset val="128"/>
    </font>
    <font>
      <b/>
      <sz val="16"/>
      <color rgb="FF444444"/>
      <name val="メイリオ"/>
      <family val="3"/>
      <charset val="128"/>
    </font>
    <font>
      <sz val="6"/>
      <name val="メイリオ"/>
      <family val="2"/>
      <charset val="128"/>
    </font>
    <font>
      <sz val="10"/>
      <color theme="1"/>
      <name val="メイリオ"/>
      <family val="3"/>
      <charset val="128"/>
    </font>
    <font>
      <sz val="12"/>
      <color rgb="FFFF0000"/>
      <name val="メイリオ"/>
      <family val="3"/>
      <charset val="128"/>
    </font>
    <font>
      <sz val="11"/>
      <name val="メイリオ"/>
      <family val="3"/>
      <charset val="128"/>
    </font>
    <font>
      <sz val="14"/>
      <name val="メイリオ"/>
      <family val="3"/>
      <charset val="128"/>
    </font>
    <font>
      <sz val="12"/>
      <name val="メイリオ"/>
      <family val="3"/>
      <charset val="128"/>
    </font>
    <font>
      <sz val="10"/>
      <name val="メイリオ"/>
      <family val="3"/>
      <charset val="128"/>
    </font>
    <font>
      <sz val="12"/>
      <color rgb="FF000000"/>
      <name val="メイリオ"/>
      <family val="3"/>
      <charset val="128"/>
    </font>
    <font>
      <sz val="10"/>
      <color rgb="FF000000"/>
      <name val="メイリオ"/>
      <family val="3"/>
      <charset val="128"/>
    </font>
    <font>
      <sz val="9"/>
      <color theme="1"/>
      <name val="メイリオ"/>
      <family val="3"/>
      <charset val="128"/>
    </font>
    <font>
      <sz val="9"/>
      <name val="メイリオ"/>
      <family val="3"/>
      <charset val="128"/>
    </font>
    <font>
      <sz val="9"/>
      <color rgb="FF000000"/>
      <name val="メイリオ"/>
      <family val="3"/>
      <charset val="128"/>
    </font>
    <font>
      <sz val="12"/>
      <color theme="1"/>
      <name val="メイリオ"/>
      <family val="3"/>
      <charset val="128"/>
    </font>
    <font>
      <sz val="28"/>
      <name val="ＭＳ Ｐゴシック"/>
      <family val="3"/>
      <charset val="128"/>
    </font>
    <font>
      <sz val="16"/>
      <color theme="10"/>
      <name val="ＭＳ Ｐゴシック"/>
      <family val="3"/>
      <charset val="128"/>
    </font>
    <font>
      <sz val="16"/>
      <name val="ＭＳ ゴシック"/>
      <family val="3"/>
      <charset val="128"/>
    </font>
    <font>
      <sz val="14"/>
      <name val="ＭＳ Ｐゴシック"/>
      <family val="3"/>
      <charset val="128"/>
    </font>
    <font>
      <b/>
      <sz val="10"/>
      <color indexed="81"/>
      <name val="MS P ゴシック"/>
      <family val="3"/>
      <charset val="128"/>
    </font>
    <font>
      <sz val="11"/>
      <color theme="1"/>
      <name val="メイリオ"/>
      <family val="3"/>
      <charset val="128"/>
    </font>
    <font>
      <sz val="11"/>
      <color rgb="FF000000"/>
      <name val="メイリオ"/>
      <family val="3"/>
      <charset val="128"/>
    </font>
    <font>
      <sz val="9"/>
      <name val="ＭＳ Ｐゴシック"/>
      <family val="3"/>
      <charset val="128"/>
    </font>
    <font>
      <sz val="12"/>
      <color theme="10"/>
      <name val="メイリオ"/>
      <family val="3"/>
      <charset val="128"/>
    </font>
  </fonts>
  <fills count="11">
    <fill>
      <patternFill patternType="none"/>
    </fill>
    <fill>
      <patternFill patternType="gray125"/>
    </fill>
    <fill>
      <patternFill patternType="solid">
        <fgColor indexed="41"/>
        <bgColor indexed="64"/>
      </patternFill>
    </fill>
    <fill>
      <patternFill patternType="solid">
        <fgColor theme="4" tint="0.79998168889431442"/>
        <bgColor theme="4" tint="0.79998168889431442"/>
      </patternFill>
    </fill>
    <fill>
      <patternFill patternType="solid">
        <fgColor theme="0" tint="-4.9989318521683403E-2"/>
        <bgColor theme="4" tint="0.79998168889431442"/>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CCFFFF"/>
        <bgColor indexed="64"/>
      </patternFill>
    </fill>
    <fill>
      <patternFill patternType="solid">
        <fgColor rgb="FFFF0000"/>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6">
    <xf numFmtId="0" fontId="0" fillId="0" borderId="0"/>
    <xf numFmtId="0" fontId="3" fillId="0" borderId="0">
      <alignment vertical="center"/>
    </xf>
    <xf numFmtId="0" fontId="3" fillId="0" borderId="0"/>
    <xf numFmtId="0" fontId="31" fillId="0" borderId="0" applyNumberFormat="0" applyFill="0" applyBorder="0" applyAlignment="0" applyProtection="0"/>
    <xf numFmtId="0" fontId="13" fillId="0" borderId="0">
      <alignment vertical="center"/>
    </xf>
    <xf numFmtId="0" fontId="15" fillId="0" borderId="0">
      <alignment vertical="center"/>
    </xf>
  </cellStyleXfs>
  <cellXfs count="251">
    <xf numFmtId="0" fontId="0" fillId="0" borderId="0" xfId="0"/>
    <xf numFmtId="0" fontId="14" fillId="4" borderId="30" xfId="0" applyFont="1" applyFill="1" applyBorder="1"/>
    <xf numFmtId="0" fontId="14" fillId="5" borderId="30" xfId="0" applyFont="1" applyFill="1" applyBorder="1"/>
    <xf numFmtId="0" fontId="0" fillId="5" borderId="0" xfId="0" applyFill="1"/>
    <xf numFmtId="0" fontId="14" fillId="3" borderId="31" xfId="0" applyFont="1" applyFill="1" applyBorder="1"/>
    <xf numFmtId="0" fontId="14" fillId="0" borderId="31" xfId="0" applyFont="1" applyBorder="1"/>
    <xf numFmtId="0" fontId="14" fillId="0" borderId="31" xfId="0" applyFont="1" applyBorder="1" applyAlignment="1">
      <alignment wrapText="1"/>
    </xf>
    <xf numFmtId="0" fontId="0" fillId="0" borderId="0" xfId="0" applyAlignment="1">
      <alignment wrapText="1"/>
    </xf>
    <xf numFmtId="176" fontId="0" fillId="0" borderId="0" xfId="0" applyNumberFormat="1"/>
    <xf numFmtId="0" fontId="16" fillId="0" borderId="0" xfId="5" applyFont="1">
      <alignment vertical="center"/>
    </xf>
    <xf numFmtId="0" fontId="18" fillId="0" borderId="0" xfId="5" applyFont="1">
      <alignment vertical="center"/>
    </xf>
    <xf numFmtId="0" fontId="20" fillId="0" borderId="35" xfId="5" applyFont="1" applyBorder="1" applyAlignment="1">
      <alignment horizontal="center" vertical="center" wrapText="1"/>
    </xf>
    <xf numFmtId="0" fontId="22" fillId="0" borderId="35" xfId="5" applyFont="1" applyBorder="1" applyAlignment="1">
      <alignment horizontal="center" vertical="center" wrapText="1"/>
    </xf>
    <xf numFmtId="0" fontId="21" fillId="0" borderId="36" xfId="5" applyFont="1" applyBorder="1" applyAlignment="1">
      <alignment horizontal="center" vertical="center" wrapText="1"/>
    </xf>
    <xf numFmtId="0" fontId="26" fillId="0" borderId="0" xfId="5" applyFont="1">
      <alignment vertical="center"/>
    </xf>
    <xf numFmtId="0" fontId="21" fillId="0" borderId="26" xfId="5" applyFont="1" applyBorder="1">
      <alignment vertical="center"/>
    </xf>
    <xf numFmtId="0" fontId="21" fillId="0" borderId="33" xfId="5" applyFont="1" applyBorder="1">
      <alignment vertical="center"/>
    </xf>
    <xf numFmtId="0" fontId="29" fillId="0" borderId="0" xfId="5" applyFont="1">
      <alignment vertical="center"/>
    </xf>
    <xf numFmtId="0" fontId="27" fillId="6" borderId="38" xfId="5" applyFont="1" applyFill="1" applyBorder="1" applyAlignment="1">
      <alignment horizontal="center" vertical="center" wrapText="1"/>
    </xf>
    <xf numFmtId="0" fontId="21" fillId="6" borderId="26" xfId="5" applyFont="1" applyFill="1" applyBorder="1">
      <alignment vertical="center"/>
    </xf>
    <xf numFmtId="0" fontId="27" fillId="6" borderId="26" xfId="5" applyFont="1" applyFill="1" applyBorder="1" applyAlignment="1">
      <alignment horizontal="center" vertical="center" wrapText="1"/>
    </xf>
    <xf numFmtId="0" fontId="21" fillId="0" borderId="26" xfId="5" applyFont="1" applyBorder="1" applyProtection="1">
      <alignment vertical="center"/>
      <protection locked="0"/>
    </xf>
    <xf numFmtId="0" fontId="21" fillId="0" borderId="33" xfId="5" applyFont="1" applyBorder="1" applyProtection="1">
      <alignment vertical="center"/>
      <protection locked="0"/>
    </xf>
    <xf numFmtId="0" fontId="3" fillId="0" borderId="0" xfId="1">
      <alignment vertical="center"/>
    </xf>
    <xf numFmtId="0" fontId="5" fillId="0" borderId="0" xfId="1" applyFont="1" applyAlignment="1">
      <alignment horizontal="center" vertical="center"/>
    </xf>
    <xf numFmtId="0" fontId="3" fillId="0" borderId="3" xfId="1" applyBorder="1">
      <alignment vertical="center"/>
    </xf>
    <xf numFmtId="176" fontId="3" fillId="0" borderId="4" xfId="1" applyNumberFormat="1" applyBorder="1">
      <alignment vertical="center"/>
    </xf>
    <xf numFmtId="0" fontId="4" fillId="0" borderId="0" xfId="1" applyFont="1">
      <alignment vertical="center"/>
    </xf>
    <xf numFmtId="0" fontId="9" fillId="0" borderId="0" xfId="1" applyFont="1">
      <alignment vertical="center"/>
    </xf>
    <xf numFmtId="0" fontId="2" fillId="7" borderId="3" xfId="1" applyFont="1" applyFill="1" applyBorder="1">
      <alignment vertical="center"/>
    </xf>
    <xf numFmtId="0" fontId="2" fillId="7" borderId="11" xfId="1" applyFont="1" applyFill="1" applyBorder="1">
      <alignment vertical="center"/>
    </xf>
    <xf numFmtId="0" fontId="2" fillId="7" borderId="4" xfId="1" applyFont="1" applyFill="1" applyBorder="1">
      <alignment vertical="center"/>
    </xf>
    <xf numFmtId="0" fontId="11" fillId="7" borderId="11" xfId="1" applyFont="1" applyFill="1" applyBorder="1">
      <alignment vertical="center"/>
    </xf>
    <xf numFmtId="0" fontId="11" fillId="7" borderId="4" xfId="1" applyFont="1" applyFill="1" applyBorder="1">
      <alignment vertical="center"/>
    </xf>
    <xf numFmtId="0" fontId="9" fillId="2" borderId="0" xfId="1" applyFont="1" applyFill="1">
      <alignment vertical="center"/>
    </xf>
    <xf numFmtId="0" fontId="9" fillId="2" borderId="9" xfId="1" applyFont="1" applyFill="1" applyBorder="1">
      <alignment vertical="center"/>
    </xf>
    <xf numFmtId="0" fontId="9" fillId="7" borderId="11" xfId="1" applyFont="1" applyFill="1" applyBorder="1">
      <alignment vertical="center"/>
    </xf>
    <xf numFmtId="0" fontId="3" fillId="7" borderId="11" xfId="1" applyFill="1" applyBorder="1">
      <alignment vertical="center"/>
    </xf>
    <xf numFmtId="0" fontId="9" fillId="7" borderId="4" xfId="1" applyFont="1" applyFill="1" applyBorder="1">
      <alignment vertical="center"/>
    </xf>
    <xf numFmtId="0" fontId="9" fillId="7" borderId="12" xfId="1" applyFont="1" applyFill="1" applyBorder="1">
      <alignment vertical="center"/>
    </xf>
    <xf numFmtId="0" fontId="9" fillId="7" borderId="0" xfId="1" applyFont="1" applyFill="1">
      <alignment vertical="center"/>
    </xf>
    <xf numFmtId="0" fontId="9" fillId="7" borderId="5" xfId="1" applyFont="1" applyFill="1" applyBorder="1">
      <alignment vertical="center"/>
    </xf>
    <xf numFmtId="0" fontId="9" fillId="7" borderId="8" xfId="1" applyFont="1" applyFill="1" applyBorder="1">
      <alignment vertical="center"/>
    </xf>
    <xf numFmtId="0" fontId="9" fillId="7" borderId="13" xfId="1" applyFont="1" applyFill="1" applyBorder="1">
      <alignment vertical="center"/>
    </xf>
    <xf numFmtId="0" fontId="9" fillId="7" borderId="14" xfId="1" applyFont="1" applyFill="1" applyBorder="1">
      <alignment vertical="center"/>
    </xf>
    <xf numFmtId="0" fontId="9" fillId="7" borderId="15" xfId="1" applyFont="1" applyFill="1" applyBorder="1">
      <alignment vertical="center"/>
    </xf>
    <xf numFmtId="0" fontId="2" fillId="0" borderId="0" xfId="1" applyFont="1" applyAlignment="1">
      <alignment horizontal="center" vertical="center"/>
    </xf>
    <xf numFmtId="0" fontId="6" fillId="0" borderId="0" xfId="1" applyFont="1" applyAlignment="1">
      <alignment horizontal="center" vertical="center" wrapText="1"/>
    </xf>
    <xf numFmtId="0" fontId="3" fillId="0" borderId="0" xfId="1" applyAlignment="1">
      <alignment horizontal="left" vertical="center" wrapText="1"/>
    </xf>
    <xf numFmtId="0" fontId="6" fillId="0" borderId="0" xfId="1" applyFont="1" applyAlignment="1">
      <alignment horizontal="left" vertical="center" wrapText="1"/>
    </xf>
    <xf numFmtId="0" fontId="0" fillId="0" borderId="0" xfId="1" applyFont="1">
      <alignment vertical="center"/>
    </xf>
    <xf numFmtId="0" fontId="9" fillId="0" borderId="1" xfId="1" applyFont="1" applyBorder="1">
      <alignment vertical="center"/>
    </xf>
    <xf numFmtId="0" fontId="9" fillId="0" borderId="2" xfId="1" applyFont="1" applyBorder="1">
      <alignment vertical="center"/>
    </xf>
    <xf numFmtId="0" fontId="9" fillId="0" borderId="9" xfId="1" applyFont="1" applyBorder="1">
      <alignment vertical="center"/>
    </xf>
    <xf numFmtId="178" fontId="21" fillId="6" borderId="38" xfId="5" applyNumberFormat="1" applyFont="1" applyFill="1" applyBorder="1" applyAlignment="1">
      <alignment horizontal="left" vertical="center"/>
    </xf>
    <xf numFmtId="178" fontId="21" fillId="6" borderId="38" xfId="5" applyNumberFormat="1" applyFont="1" applyFill="1" applyBorder="1" applyAlignment="1">
      <alignment horizontal="left" vertical="center" wrapText="1"/>
    </xf>
    <xf numFmtId="178" fontId="21" fillId="6" borderId="26" xfId="5" applyNumberFormat="1" applyFont="1" applyFill="1" applyBorder="1" applyAlignment="1">
      <alignment horizontal="left" vertical="center"/>
    </xf>
    <xf numFmtId="178" fontId="21" fillId="6" borderId="26" xfId="5" applyNumberFormat="1" applyFont="1" applyFill="1" applyBorder="1" applyAlignment="1">
      <alignment horizontal="left" vertical="center" wrapText="1"/>
    </xf>
    <xf numFmtId="179" fontId="0" fillId="0" borderId="0" xfId="0" applyNumberFormat="1"/>
    <xf numFmtId="49" fontId="0" fillId="0" borderId="0" xfId="0" applyNumberFormat="1"/>
    <xf numFmtId="49" fontId="21" fillId="0" borderId="26" xfId="5" applyNumberFormat="1" applyFont="1" applyBorder="1" applyAlignment="1" applyProtection="1">
      <alignment horizontal="left" vertical="center"/>
      <protection locked="0"/>
    </xf>
    <xf numFmtId="49" fontId="21" fillId="0" borderId="26" xfId="5" applyNumberFormat="1" applyFont="1" applyBorder="1" applyAlignment="1" applyProtection="1">
      <alignment horizontal="left"/>
      <protection locked="0"/>
    </xf>
    <xf numFmtId="49" fontId="21" fillId="0" borderId="33" xfId="5" applyNumberFormat="1" applyFont="1" applyBorder="1" applyAlignment="1" applyProtection="1">
      <alignment horizontal="left" vertical="center"/>
      <protection locked="0"/>
    </xf>
    <xf numFmtId="0" fontId="21" fillId="6" borderId="38" xfId="5" applyFont="1" applyFill="1" applyBorder="1">
      <alignment vertical="center"/>
    </xf>
    <xf numFmtId="0" fontId="27" fillId="0" borderId="42" xfId="5" applyFont="1" applyBorder="1" applyAlignment="1">
      <alignment horizontal="center" vertical="center" wrapText="1"/>
    </xf>
    <xf numFmtId="49" fontId="27" fillId="0" borderId="42" xfId="5" applyNumberFormat="1" applyFont="1" applyBorder="1" applyAlignment="1">
      <alignment horizontal="center" vertical="center"/>
    </xf>
    <xf numFmtId="0" fontId="10" fillId="2" borderId="18" xfId="0" applyFont="1" applyFill="1" applyBorder="1" applyAlignment="1">
      <alignment horizontal="left" vertical="center"/>
    </xf>
    <xf numFmtId="0" fontId="10" fillId="2" borderId="0" xfId="0" applyFont="1" applyFill="1" applyAlignment="1">
      <alignment horizontal="left" vertical="center"/>
    </xf>
    <xf numFmtId="0" fontId="10" fillId="2" borderId="5" xfId="0" applyFont="1" applyFill="1" applyBorder="1" applyAlignment="1">
      <alignment horizontal="left" vertical="center"/>
    </xf>
    <xf numFmtId="0" fontId="10" fillId="2" borderId="8" xfId="0" applyFont="1" applyFill="1" applyBorder="1" applyAlignment="1">
      <alignment horizontal="left" vertical="center"/>
    </xf>
    <xf numFmtId="177" fontId="32" fillId="0" borderId="7" xfId="0" applyNumberFormat="1" applyFont="1" applyBorder="1" applyAlignment="1" applyProtection="1">
      <alignment horizontal="left" vertical="center"/>
      <protection locked="0"/>
    </xf>
    <xf numFmtId="177" fontId="32" fillId="0" borderId="5" xfId="0" applyNumberFormat="1" applyFont="1" applyBorder="1" applyAlignment="1" applyProtection="1">
      <alignment horizontal="left" vertical="center"/>
      <protection locked="0"/>
    </xf>
    <xf numFmtId="177" fontId="32" fillId="0" borderId="8" xfId="0" applyNumberFormat="1" applyFont="1" applyBorder="1" applyAlignment="1" applyProtection="1">
      <alignment horizontal="left" vertical="center"/>
      <protection locked="0"/>
    </xf>
    <xf numFmtId="14" fontId="2" fillId="0" borderId="7" xfId="1" applyNumberFormat="1" applyFont="1" applyBorder="1" applyAlignment="1">
      <alignment horizontal="center" vertical="center" wrapText="1"/>
    </xf>
    <xf numFmtId="0" fontId="2" fillId="0" borderId="5" xfId="1" applyFont="1" applyBorder="1" applyAlignment="1">
      <alignment horizontal="center" vertical="center"/>
    </xf>
    <xf numFmtId="0" fontId="2" fillId="0" borderId="39" xfId="1" applyFont="1" applyBorder="1" applyAlignment="1">
      <alignment horizontal="center" vertical="center"/>
    </xf>
    <xf numFmtId="0" fontId="8" fillId="0" borderId="3" xfId="1" applyFont="1" applyBorder="1">
      <alignment vertical="center"/>
    </xf>
    <xf numFmtId="0" fontId="21" fillId="0" borderId="37" xfId="5" applyFont="1" applyBorder="1" applyAlignment="1">
      <alignment horizontal="center" vertical="center" wrapText="1"/>
    </xf>
    <xf numFmtId="49" fontId="27" fillId="0" borderId="19" xfId="5" applyNumberFormat="1" applyFont="1" applyBorder="1" applyAlignment="1">
      <alignment horizontal="center" vertical="center" wrapText="1"/>
    </xf>
    <xf numFmtId="49" fontId="27" fillId="0" borderId="16" xfId="5" applyNumberFormat="1" applyFont="1" applyBorder="1" applyAlignment="1">
      <alignment horizontal="center" vertical="center" wrapText="1"/>
    </xf>
    <xf numFmtId="0" fontId="18" fillId="0" borderId="44" xfId="5" applyFont="1" applyBorder="1" applyAlignment="1">
      <alignment horizontal="center" vertical="center"/>
    </xf>
    <xf numFmtId="0" fontId="22" fillId="0" borderId="36" xfId="5" applyFont="1" applyBorder="1" applyAlignment="1">
      <alignment horizontal="center" vertical="center" wrapText="1"/>
    </xf>
    <xf numFmtId="0" fontId="28" fillId="0" borderId="46" xfId="5" applyFont="1" applyBorder="1" applyAlignment="1">
      <alignment horizontal="center" vertical="center" wrapText="1"/>
    </xf>
    <xf numFmtId="0" fontId="28" fillId="0" borderId="14" xfId="5" applyFont="1" applyBorder="1" applyAlignment="1">
      <alignment vertical="center" wrapText="1"/>
    </xf>
    <xf numFmtId="0" fontId="28" fillId="0" borderId="16" xfId="5" applyFont="1" applyBorder="1" applyAlignment="1">
      <alignment vertical="center" wrapText="1"/>
    </xf>
    <xf numFmtId="0" fontId="21" fillId="0" borderId="26" xfId="5" applyFont="1" applyBorder="1" applyAlignment="1" applyProtection="1">
      <alignment horizontal="left" vertical="center"/>
      <protection locked="0"/>
    </xf>
    <xf numFmtId="0" fontId="21" fillId="0" borderId="33" xfId="5" applyFont="1" applyBorder="1" applyAlignment="1" applyProtection="1">
      <alignment horizontal="left" vertical="center"/>
      <protection locked="0"/>
    </xf>
    <xf numFmtId="0" fontId="18" fillId="0" borderId="0" xfId="5" applyFont="1" applyAlignment="1">
      <alignment horizontal="center" vertical="center"/>
    </xf>
    <xf numFmtId="0" fontId="20" fillId="0" borderId="26" xfId="5" applyFont="1" applyBorder="1" applyAlignment="1" applyProtection="1">
      <alignment horizontal="center" vertical="center"/>
      <protection locked="0"/>
    </xf>
    <xf numFmtId="0" fontId="35" fillId="0" borderId="26" xfId="5" applyFont="1" applyBorder="1" applyProtection="1">
      <alignment vertical="center"/>
      <protection locked="0"/>
    </xf>
    <xf numFmtId="49" fontId="35" fillId="0" borderId="26" xfId="5" applyNumberFormat="1" applyFont="1" applyBorder="1" applyAlignment="1" applyProtection="1">
      <alignment horizontal="right" vertical="center"/>
      <protection locked="0"/>
    </xf>
    <xf numFmtId="0" fontId="20" fillId="0" borderId="33" xfId="5" applyFont="1" applyBorder="1" applyAlignment="1" applyProtection="1">
      <alignment horizontal="center" vertical="center"/>
      <protection locked="0"/>
    </xf>
    <xf numFmtId="0" fontId="35" fillId="0" borderId="33" xfId="5" applyFont="1" applyBorder="1" applyProtection="1">
      <alignment vertical="center"/>
      <protection locked="0"/>
    </xf>
    <xf numFmtId="49" fontId="35" fillId="0" borderId="33" xfId="5" applyNumberFormat="1" applyFont="1" applyBorder="1" applyAlignment="1" applyProtection="1">
      <alignment horizontal="right" vertical="center"/>
      <protection locked="0"/>
    </xf>
    <xf numFmtId="0" fontId="20" fillId="6" borderId="38" xfId="5" applyFont="1" applyFill="1" applyBorder="1" applyAlignment="1">
      <alignment horizontal="center" vertical="center"/>
    </xf>
    <xf numFmtId="0" fontId="35" fillId="6" borderId="38" xfId="5" applyFont="1" applyFill="1" applyBorder="1">
      <alignment vertical="center"/>
    </xf>
    <xf numFmtId="49" fontId="36" fillId="6" borderId="38" xfId="5" applyNumberFormat="1" applyFont="1" applyFill="1" applyBorder="1" applyAlignment="1">
      <alignment vertical="center" wrapText="1"/>
    </xf>
    <xf numFmtId="0" fontId="20" fillId="6" borderId="26" xfId="5" applyFont="1" applyFill="1" applyBorder="1" applyAlignment="1">
      <alignment horizontal="center" vertical="center"/>
    </xf>
    <xf numFmtId="0" fontId="35" fillId="6" borderId="26" xfId="5" applyFont="1" applyFill="1" applyBorder="1">
      <alignment vertical="center"/>
    </xf>
    <xf numFmtId="49" fontId="36" fillId="6" borderId="26" xfId="5" applyNumberFormat="1" applyFont="1" applyFill="1" applyBorder="1" applyAlignment="1">
      <alignment horizontal="right" vertical="center" wrapText="1"/>
    </xf>
    <xf numFmtId="49" fontId="36" fillId="6" borderId="26" xfId="5" applyNumberFormat="1" applyFont="1" applyFill="1" applyBorder="1" applyAlignment="1">
      <alignment vertical="center" wrapText="1"/>
    </xf>
    <xf numFmtId="0" fontId="14" fillId="3" borderId="32" xfId="0" applyFont="1" applyFill="1" applyBorder="1" applyAlignment="1">
      <alignment wrapText="1"/>
    </xf>
    <xf numFmtId="14" fontId="14" fillId="0" borderId="32" xfId="0" applyNumberFormat="1" applyFont="1" applyBorder="1" applyAlignment="1">
      <alignment wrapText="1"/>
    </xf>
    <xf numFmtId="0" fontId="14" fillId="0" borderId="32" xfId="0" applyFont="1" applyBorder="1" applyAlignment="1">
      <alignment wrapText="1"/>
    </xf>
    <xf numFmtId="0" fontId="14" fillId="3" borderId="0" xfId="0" applyFont="1" applyFill="1" applyAlignment="1">
      <alignment wrapText="1"/>
    </xf>
    <xf numFmtId="0" fontId="14" fillId="5" borderId="30" xfId="0" applyFont="1" applyFill="1" applyBorder="1" applyAlignment="1">
      <alignment wrapText="1"/>
    </xf>
    <xf numFmtId="0" fontId="14" fillId="8" borderId="30" xfId="0" applyFont="1" applyFill="1" applyBorder="1" applyAlignment="1">
      <alignment wrapText="1"/>
    </xf>
    <xf numFmtId="0" fontId="14" fillId="3" borderId="32" xfId="0" applyFont="1" applyFill="1" applyBorder="1"/>
    <xf numFmtId="0" fontId="37" fillId="8" borderId="0" xfId="0" applyFont="1" applyFill="1" applyAlignment="1">
      <alignment wrapText="1"/>
    </xf>
    <xf numFmtId="0" fontId="37" fillId="0" borderId="0" xfId="0" applyFont="1" applyAlignment="1">
      <alignment wrapText="1"/>
    </xf>
    <xf numFmtId="0" fontId="21" fillId="0" borderId="26" xfId="5" applyFont="1" applyBorder="1" applyAlignment="1">
      <alignment horizontal="left" vertical="center"/>
    </xf>
    <xf numFmtId="0" fontId="21" fillId="0" borderId="33" xfId="5" applyFont="1" applyBorder="1" applyAlignment="1">
      <alignment horizontal="left" vertical="center"/>
    </xf>
    <xf numFmtId="0" fontId="19" fillId="0" borderId="0" xfId="5" applyFont="1" applyAlignment="1">
      <alignment vertical="center" wrapText="1"/>
    </xf>
    <xf numFmtId="0" fontId="38" fillId="0" borderId="0" xfId="3" applyFont="1" applyAlignment="1">
      <alignment vertical="center"/>
    </xf>
    <xf numFmtId="0" fontId="38" fillId="0" borderId="0" xfId="3" applyFont="1" applyAlignment="1" applyProtection="1">
      <alignment vertical="center"/>
      <protection locked="0"/>
    </xf>
    <xf numFmtId="0" fontId="18" fillId="0" borderId="0" xfId="5" applyFont="1" applyAlignment="1" applyProtection="1">
      <alignment horizontal="center" vertical="center"/>
      <protection locked="0"/>
    </xf>
    <xf numFmtId="0" fontId="18" fillId="0" borderId="0" xfId="5" applyFont="1" applyProtection="1">
      <alignment vertical="center"/>
      <protection locked="0"/>
    </xf>
    <xf numFmtId="0" fontId="21" fillId="9" borderId="26" xfId="5" applyFont="1" applyFill="1" applyBorder="1" applyAlignment="1" applyProtection="1">
      <alignment horizontal="left" vertical="center"/>
      <protection locked="0"/>
    </xf>
    <xf numFmtId="0" fontId="0" fillId="10" borderId="0" xfId="0" applyFill="1"/>
    <xf numFmtId="0" fontId="9" fillId="2" borderId="17"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18" xfId="1" applyFont="1" applyFill="1" applyBorder="1" applyAlignment="1">
      <alignment horizontal="center" vertical="center"/>
    </xf>
    <xf numFmtId="0" fontId="9" fillId="2" borderId="0" xfId="1" applyFont="1" applyFill="1" applyAlignment="1">
      <alignment horizontal="center" vertical="center"/>
    </xf>
    <xf numFmtId="0" fontId="9" fillId="2" borderId="19" xfId="1" applyFont="1" applyFill="1" applyBorder="1" applyAlignment="1">
      <alignment horizontal="center" vertical="center"/>
    </xf>
    <xf numFmtId="0" fontId="9" fillId="2" borderId="14" xfId="1" applyFont="1" applyFill="1" applyBorder="1" applyAlignment="1">
      <alignment horizontal="center" vertical="center"/>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6" xfId="1" applyFont="1" applyBorder="1" applyAlignment="1">
      <alignment horizontal="center" vertical="center" wrapText="1"/>
    </xf>
    <xf numFmtId="0" fontId="9" fillId="2" borderId="25" xfId="1" applyFont="1" applyFill="1" applyBorder="1" applyAlignment="1">
      <alignment horizontal="center" vertical="center" wrapText="1"/>
    </xf>
    <xf numFmtId="0" fontId="9" fillId="2" borderId="24" xfId="1" applyFont="1" applyFill="1" applyBorder="1" applyAlignment="1">
      <alignment horizontal="center" vertical="center" wrapText="1"/>
    </xf>
    <xf numFmtId="0" fontId="9" fillId="2" borderId="23" xfId="1" applyFont="1" applyFill="1" applyBorder="1" applyAlignment="1">
      <alignment horizontal="center" vertical="center" wrapText="1"/>
    </xf>
    <xf numFmtId="0" fontId="9" fillId="2" borderId="34"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40" xfId="1" applyFont="1" applyFill="1" applyBorder="1" applyAlignment="1">
      <alignment horizontal="center" vertical="center" wrapText="1"/>
    </xf>
    <xf numFmtId="0" fontId="9" fillId="2" borderId="29" xfId="1" applyFont="1" applyFill="1" applyBorder="1" applyAlignment="1">
      <alignment horizontal="center" vertical="center" wrapText="1"/>
    </xf>
    <xf numFmtId="0" fontId="9" fillId="2" borderId="41" xfId="1" applyFont="1" applyFill="1" applyBorder="1" applyAlignment="1">
      <alignment horizontal="center" vertical="center" wrapText="1"/>
    </xf>
    <xf numFmtId="49" fontId="31" fillId="0" borderId="27" xfId="3" applyNumberFormat="1" applyBorder="1" applyAlignment="1" applyProtection="1">
      <alignment horizontal="left" vertical="center" wrapText="1"/>
      <protection locked="0"/>
    </xf>
    <xf numFmtId="49" fontId="31" fillId="0" borderId="24" xfId="3" applyNumberFormat="1" applyBorder="1" applyAlignment="1" applyProtection="1">
      <alignment horizontal="left" vertical="center" wrapText="1"/>
      <protection locked="0"/>
    </xf>
    <xf numFmtId="49" fontId="31" fillId="0" borderId="23" xfId="3" applyNumberFormat="1" applyBorder="1" applyAlignment="1" applyProtection="1">
      <alignment horizontal="left" vertical="center" wrapText="1"/>
      <protection locked="0"/>
    </xf>
    <xf numFmtId="49" fontId="30" fillId="0" borderId="3" xfId="1" applyNumberFormat="1" applyFont="1" applyBorder="1" applyAlignment="1" applyProtection="1">
      <alignment horizontal="left" vertical="center"/>
      <protection locked="0"/>
    </xf>
    <xf numFmtId="49" fontId="30" fillId="0" borderId="11" xfId="1" applyNumberFormat="1" applyFont="1" applyBorder="1" applyAlignment="1" applyProtection="1">
      <alignment horizontal="left" vertical="center"/>
      <protection locked="0"/>
    </xf>
    <xf numFmtId="49" fontId="30" fillId="0" borderId="4" xfId="1" applyNumberFormat="1" applyFont="1" applyBorder="1" applyAlignment="1" applyProtection="1">
      <alignment horizontal="left" vertical="center"/>
      <protection locked="0"/>
    </xf>
    <xf numFmtId="0" fontId="12" fillId="0" borderId="28" xfId="1" applyFont="1" applyBorder="1" applyAlignment="1" applyProtection="1">
      <alignment horizontal="left" vertical="center"/>
      <protection locked="0"/>
    </xf>
    <xf numFmtId="0" fontId="12" fillId="0" borderId="29" xfId="1" applyFont="1" applyBorder="1" applyAlignment="1" applyProtection="1">
      <alignment horizontal="left" vertical="center"/>
      <protection locked="0"/>
    </xf>
    <xf numFmtId="0" fontId="12" fillId="0" borderId="41" xfId="1" applyFont="1" applyBorder="1" applyAlignment="1" applyProtection="1">
      <alignment horizontal="left" vertical="center"/>
      <protection locked="0"/>
    </xf>
    <xf numFmtId="0" fontId="2" fillId="7" borderId="3" xfId="1" applyFont="1" applyFill="1" applyBorder="1" applyAlignment="1">
      <alignment horizontal="left" vertical="center"/>
    </xf>
    <xf numFmtId="0" fontId="2" fillId="7" borderId="11" xfId="1" applyFont="1" applyFill="1" applyBorder="1" applyAlignment="1">
      <alignment horizontal="left" vertical="center"/>
    </xf>
    <xf numFmtId="0" fontId="2" fillId="7" borderId="4" xfId="1" applyFont="1" applyFill="1" applyBorder="1" applyAlignment="1">
      <alignment horizontal="left" vertical="center"/>
    </xf>
    <xf numFmtId="49" fontId="11" fillId="0" borderId="3" xfId="1" applyNumberFormat="1" applyFont="1" applyBorder="1" applyAlignment="1" applyProtection="1">
      <alignment horizontal="left" vertical="center"/>
      <protection locked="0"/>
    </xf>
    <xf numFmtId="49" fontId="11" fillId="0" borderId="11" xfId="1" applyNumberFormat="1" applyFont="1" applyBorder="1" applyAlignment="1" applyProtection="1">
      <alignment horizontal="left" vertical="center"/>
      <protection locked="0"/>
    </xf>
    <xf numFmtId="49" fontId="11" fillId="0" borderId="21" xfId="1" applyNumberFormat="1" applyFont="1" applyBorder="1" applyAlignment="1" applyProtection="1">
      <alignment horizontal="left" vertical="center"/>
      <protection locked="0"/>
    </xf>
    <xf numFmtId="49" fontId="33" fillId="0" borderId="3" xfId="1" applyNumberFormat="1" applyFont="1" applyBorder="1" applyAlignment="1" applyProtection="1">
      <alignment horizontal="left" vertical="center" wrapText="1"/>
      <protection locked="0"/>
    </xf>
    <xf numFmtId="49" fontId="33" fillId="0" borderId="11" xfId="1" applyNumberFormat="1" applyFont="1" applyBorder="1" applyAlignment="1" applyProtection="1">
      <alignment horizontal="left" vertical="center"/>
      <protection locked="0"/>
    </xf>
    <xf numFmtId="49" fontId="33" fillId="0" borderId="21" xfId="1" applyNumberFormat="1" applyFont="1" applyBorder="1" applyAlignment="1" applyProtection="1">
      <alignment horizontal="left" vertical="center"/>
      <protection locked="0"/>
    </xf>
    <xf numFmtId="49" fontId="11" fillId="0" borderId="7" xfId="1" applyNumberFormat="1" applyFont="1" applyBorder="1" applyAlignment="1" applyProtection="1">
      <alignment horizontal="left" vertical="center" wrapText="1"/>
      <protection locked="0"/>
    </xf>
    <xf numFmtId="49" fontId="11" fillId="0" borderId="5" xfId="1" applyNumberFormat="1" applyFont="1" applyBorder="1" applyAlignment="1" applyProtection="1">
      <alignment horizontal="left" vertical="center"/>
      <protection locked="0"/>
    </xf>
    <xf numFmtId="49" fontId="11" fillId="0" borderId="39" xfId="1" applyNumberFormat="1" applyFont="1" applyBorder="1" applyAlignment="1" applyProtection="1">
      <alignment horizontal="left" vertical="center"/>
      <protection locked="0"/>
    </xf>
    <xf numFmtId="49" fontId="33" fillId="0" borderId="7" xfId="1" applyNumberFormat="1" applyFont="1" applyBorder="1" applyAlignment="1" applyProtection="1">
      <alignment horizontal="left" vertical="center" wrapText="1"/>
      <protection locked="0"/>
    </xf>
    <xf numFmtId="49" fontId="33" fillId="0" borderId="5" xfId="1" applyNumberFormat="1" applyFont="1" applyBorder="1" applyAlignment="1" applyProtection="1">
      <alignment horizontal="left" vertical="center"/>
      <protection locked="0"/>
    </xf>
    <xf numFmtId="49" fontId="33" fillId="0" borderId="39" xfId="1" applyNumberFormat="1" applyFont="1" applyBorder="1" applyAlignment="1" applyProtection="1">
      <alignment horizontal="left" vertical="center"/>
      <protection locked="0"/>
    </xf>
    <xf numFmtId="0" fontId="3" fillId="0" borderId="0" xfId="1" applyAlignment="1">
      <alignment horizontal="center" vertical="center"/>
    </xf>
    <xf numFmtId="0" fontId="3" fillId="0" borderId="9" xfId="1" applyBorder="1" applyAlignment="1">
      <alignment horizontal="center" vertical="center"/>
    </xf>
    <xf numFmtId="0" fontId="5" fillId="0" borderId="0" xfId="1" applyFont="1" applyAlignment="1">
      <alignment horizontal="center" vertical="center"/>
    </xf>
    <xf numFmtId="0" fontId="9" fillId="2" borderId="17" xfId="1" applyFont="1" applyFill="1" applyBorder="1" applyAlignment="1">
      <alignment horizontal="center" wrapText="1"/>
    </xf>
    <xf numFmtId="0" fontId="9" fillId="2" borderId="1" xfId="1" applyFont="1" applyFill="1" applyBorder="1" applyAlignment="1">
      <alignment horizontal="center" wrapText="1"/>
    </xf>
    <xf numFmtId="0" fontId="9" fillId="2" borderId="2" xfId="1" applyFont="1" applyFill="1" applyBorder="1" applyAlignment="1">
      <alignment horizontal="center" wrapText="1"/>
    </xf>
    <xf numFmtId="0" fontId="9" fillId="2" borderId="20" xfId="1" applyFont="1" applyFill="1" applyBorder="1" applyAlignment="1">
      <alignment horizontal="center" wrapText="1"/>
    </xf>
    <xf numFmtId="0" fontId="9" fillId="2" borderId="5" xfId="1" applyFont="1" applyFill="1" applyBorder="1" applyAlignment="1">
      <alignment horizontal="center" wrapText="1"/>
    </xf>
    <xf numFmtId="0" fontId="10" fillId="2" borderId="25" xfId="0" applyFont="1" applyFill="1" applyBorder="1" applyAlignment="1">
      <alignment horizontal="left" vertical="center"/>
    </xf>
    <xf numFmtId="0" fontId="10" fillId="2" borderId="24" xfId="0" applyFont="1" applyFill="1" applyBorder="1" applyAlignment="1">
      <alignment horizontal="left" vertical="center"/>
    </xf>
    <xf numFmtId="0" fontId="10" fillId="2" borderId="23" xfId="0" applyFont="1" applyFill="1" applyBorder="1" applyAlignment="1">
      <alignment horizontal="left" vertical="center"/>
    </xf>
    <xf numFmtId="177" fontId="32" fillId="0" borderId="27" xfId="0" applyNumberFormat="1" applyFont="1" applyBorder="1" applyAlignment="1" applyProtection="1">
      <alignment horizontal="left" vertical="center"/>
      <protection locked="0"/>
    </xf>
    <xf numFmtId="177" fontId="32" fillId="0" borderId="24" xfId="0" applyNumberFormat="1" applyFont="1" applyBorder="1" applyAlignment="1" applyProtection="1">
      <alignment horizontal="left" vertical="center"/>
      <protection locked="0"/>
    </xf>
    <xf numFmtId="177" fontId="32" fillId="0" borderId="23" xfId="0" applyNumberFormat="1" applyFont="1" applyBorder="1" applyAlignment="1" applyProtection="1">
      <alignment horizontal="left" vertical="center"/>
      <protection locked="0"/>
    </xf>
    <xf numFmtId="0" fontId="7" fillId="0" borderId="0" xfId="0" applyFont="1" applyAlignment="1">
      <alignment horizontal="center" vertical="center" wrapText="1"/>
    </xf>
    <xf numFmtId="0" fontId="9" fillId="2" borderId="17"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20"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7" borderId="3" xfId="1" applyFont="1" applyFill="1" applyBorder="1" applyAlignment="1">
      <alignment horizontal="center" vertical="center"/>
    </xf>
    <xf numFmtId="0" fontId="9" fillId="7" borderId="11" xfId="1" applyFont="1" applyFill="1" applyBorder="1" applyAlignment="1">
      <alignment horizontal="center" vertical="center"/>
    </xf>
    <xf numFmtId="0" fontId="9" fillId="7" borderId="4" xfId="1" applyFont="1" applyFill="1" applyBorder="1" applyAlignment="1">
      <alignment horizontal="center" vertical="center"/>
    </xf>
    <xf numFmtId="49" fontId="11" fillId="0" borderId="3" xfId="1" applyNumberFormat="1" applyFont="1" applyBorder="1" applyAlignment="1" applyProtection="1">
      <alignment horizontal="left" vertical="center" wrapText="1"/>
      <protection locked="0"/>
    </xf>
    <xf numFmtId="49" fontId="11" fillId="0" borderId="11" xfId="1" applyNumberFormat="1" applyFont="1" applyBorder="1" applyAlignment="1" applyProtection="1">
      <alignment horizontal="left" vertical="center" wrapText="1"/>
      <protection locked="0"/>
    </xf>
    <xf numFmtId="49" fontId="11" fillId="0" borderId="4" xfId="1" applyNumberFormat="1" applyFont="1" applyBorder="1" applyAlignment="1" applyProtection="1">
      <alignment horizontal="left" vertical="center" wrapText="1"/>
      <protection locked="0"/>
    </xf>
    <xf numFmtId="0" fontId="2" fillId="0" borderId="3" xfId="1" applyFont="1" applyBorder="1" applyAlignment="1">
      <alignment horizontal="left" vertical="center"/>
    </xf>
    <xf numFmtId="0" fontId="2" fillId="0" borderId="11" xfId="1" applyFont="1" applyBorder="1" applyAlignment="1">
      <alignment horizontal="left" vertical="center"/>
    </xf>
    <xf numFmtId="0" fontId="2" fillId="0" borderId="4" xfId="1" applyFont="1" applyBorder="1" applyAlignment="1">
      <alignment horizontal="left" vertical="center"/>
    </xf>
    <xf numFmtId="0" fontId="3" fillId="0" borderId="10" xfId="1" applyBorder="1" applyAlignment="1">
      <alignment horizontal="center" vertical="center"/>
    </xf>
    <xf numFmtId="0" fontId="3" fillId="0" borderId="1" xfId="1" applyBorder="1" applyAlignment="1">
      <alignment horizontal="center" vertical="center"/>
    </xf>
    <xf numFmtId="0" fontId="3" fillId="0" borderId="2" xfId="1" applyBorder="1" applyAlignment="1">
      <alignment horizontal="center" vertical="center"/>
    </xf>
    <xf numFmtId="0" fontId="3" fillId="0" borderId="7" xfId="1" applyBorder="1" applyAlignment="1">
      <alignment horizontal="center" vertical="center"/>
    </xf>
    <xf numFmtId="0" fontId="3" fillId="0" borderId="5" xfId="1" applyBorder="1" applyAlignment="1">
      <alignment horizontal="center" vertical="center"/>
    </xf>
    <xf numFmtId="0" fontId="3" fillId="0" borderId="8" xfId="1" applyBorder="1" applyAlignment="1">
      <alignment horizontal="center" vertical="center"/>
    </xf>
    <xf numFmtId="0" fontId="3" fillId="0" borderId="10" xfId="1" applyBorder="1" applyAlignment="1" applyProtection="1">
      <alignment horizontal="left" vertical="center"/>
      <protection locked="0"/>
    </xf>
    <xf numFmtId="0" fontId="3" fillId="0" borderId="1" xfId="1" applyBorder="1" applyAlignment="1" applyProtection="1">
      <alignment horizontal="left" vertical="center"/>
      <protection locked="0"/>
    </xf>
    <xf numFmtId="0" fontId="3" fillId="0" borderId="2" xfId="1" applyBorder="1" applyAlignment="1" applyProtection="1">
      <alignment horizontal="left" vertical="center"/>
      <protection locked="0"/>
    </xf>
    <xf numFmtId="0" fontId="3" fillId="0" borderId="7" xfId="1" applyBorder="1" applyAlignment="1" applyProtection="1">
      <alignment horizontal="left" vertical="center"/>
      <protection locked="0"/>
    </xf>
    <xf numFmtId="0" fontId="3" fillId="0" borderId="5" xfId="1" applyBorder="1" applyAlignment="1" applyProtection="1">
      <alignment horizontal="left" vertical="center"/>
      <protection locked="0"/>
    </xf>
    <xf numFmtId="0" fontId="3" fillId="0" borderId="8" xfId="1" applyBorder="1" applyAlignment="1" applyProtection="1">
      <alignment horizontal="left" vertical="center"/>
      <protection locked="0"/>
    </xf>
    <xf numFmtId="0" fontId="9" fillId="0" borderId="1" xfId="1" applyFont="1" applyBorder="1" applyAlignment="1">
      <alignment horizontal="center" vertical="center" wrapText="1"/>
    </xf>
    <xf numFmtId="0" fontId="9" fillId="0" borderId="0" xfId="1" applyFont="1" applyAlignment="1">
      <alignment horizontal="center" vertical="center" wrapText="1"/>
    </xf>
    <xf numFmtId="0" fontId="9" fillId="0" borderId="5"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8"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21" xfId="1" applyFont="1" applyBorder="1" applyAlignment="1">
      <alignment horizontal="center" vertical="center" wrapText="1"/>
    </xf>
    <xf numFmtId="0" fontId="2" fillId="0" borderId="2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2" xfId="1" applyFont="1" applyBorder="1" applyAlignment="1">
      <alignment horizontal="center" vertical="center" wrapText="1"/>
    </xf>
    <xf numFmtId="14" fontId="2" fillId="0" borderId="27" xfId="1" applyNumberFormat="1" applyFont="1" applyBorder="1" applyAlignment="1">
      <alignment horizontal="center" vertical="center" wrapText="1"/>
    </xf>
    <xf numFmtId="0" fontId="2" fillId="0" borderId="24" xfId="1" applyFont="1" applyBorder="1" applyAlignment="1">
      <alignment horizontal="center" vertical="center"/>
    </xf>
    <xf numFmtId="0" fontId="2" fillId="0" borderId="22" xfId="1" applyFont="1" applyBorder="1" applyAlignment="1">
      <alignment horizontal="center" vertical="center"/>
    </xf>
    <xf numFmtId="0" fontId="2" fillId="0" borderId="3" xfId="1" applyFont="1" applyBorder="1" applyAlignment="1">
      <alignment horizontal="center" vertical="center"/>
    </xf>
    <xf numFmtId="0" fontId="2" fillId="0" borderId="11" xfId="1" applyFont="1" applyBorder="1" applyAlignment="1">
      <alignment horizontal="center" vertical="center"/>
    </xf>
    <xf numFmtId="0" fontId="2" fillId="0" borderId="21" xfId="1" applyFont="1" applyBorder="1" applyAlignment="1">
      <alignment horizontal="center" vertical="center"/>
    </xf>
    <xf numFmtId="49" fontId="2" fillId="0" borderId="3" xfId="1" applyNumberFormat="1" applyFont="1" applyBorder="1" applyAlignment="1" applyProtection="1">
      <alignment horizontal="left" vertical="center" wrapText="1"/>
      <protection locked="0"/>
    </xf>
    <xf numFmtId="49" fontId="2" fillId="0" borderId="11" xfId="1" applyNumberFormat="1" applyFont="1" applyBorder="1" applyAlignment="1" applyProtection="1">
      <alignment horizontal="left" vertical="center"/>
      <protection locked="0"/>
    </xf>
    <xf numFmtId="49" fontId="2" fillId="0" borderId="4" xfId="1" applyNumberFormat="1" applyFont="1" applyBorder="1" applyAlignment="1" applyProtection="1">
      <alignment horizontal="left" vertical="center"/>
      <protection locked="0"/>
    </xf>
    <xf numFmtId="0" fontId="11" fillId="0" borderId="3"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4" xfId="1" applyFont="1" applyBorder="1" applyAlignment="1">
      <alignment horizontal="center" vertical="center" wrapText="1"/>
    </xf>
    <xf numFmtId="49" fontId="11" fillId="0" borderId="13" xfId="1" applyNumberFormat="1" applyFont="1" applyBorder="1" applyAlignment="1" applyProtection="1">
      <alignment horizontal="left" vertical="center" wrapText="1"/>
      <protection locked="0"/>
    </xf>
    <xf numFmtId="49" fontId="11" fillId="0" borderId="14" xfId="1" applyNumberFormat="1" applyFont="1" applyBorder="1" applyAlignment="1" applyProtection="1">
      <alignment horizontal="left" vertical="center"/>
      <protection locked="0"/>
    </xf>
    <xf numFmtId="49" fontId="11" fillId="0" borderId="16" xfId="1" applyNumberFormat="1" applyFont="1" applyBorder="1" applyAlignment="1" applyProtection="1">
      <alignment horizontal="left" vertical="center"/>
      <protection locked="0"/>
    </xf>
    <xf numFmtId="0" fontId="2" fillId="0" borderId="6" xfId="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9" fontId="11" fillId="0" borderId="4" xfId="1" applyNumberFormat="1" applyFont="1" applyBorder="1" applyAlignment="1" applyProtection="1">
      <alignment horizontal="left" vertical="center"/>
      <protection locked="0"/>
    </xf>
    <xf numFmtId="0" fontId="24" fillId="0" borderId="36" xfId="5" applyFont="1" applyBorder="1" applyAlignment="1">
      <alignment horizontal="center" vertical="center" wrapText="1"/>
    </xf>
    <xf numFmtId="0" fontId="24" fillId="0" borderId="37" xfId="5" applyFont="1" applyBorder="1" applyAlignment="1">
      <alignment horizontal="center" vertical="center" wrapText="1"/>
    </xf>
    <xf numFmtId="0" fontId="18" fillId="0" borderId="43" xfId="5" applyFont="1" applyBorder="1" applyAlignment="1">
      <alignment horizontal="center" vertical="center"/>
    </xf>
    <xf numFmtId="0" fontId="18" fillId="0" borderId="44" xfId="5" applyFont="1" applyBorder="1" applyAlignment="1">
      <alignment horizontal="center" vertical="center"/>
    </xf>
    <xf numFmtId="0" fontId="18" fillId="0" borderId="45" xfId="5" applyFont="1" applyBorder="1" applyAlignment="1">
      <alignment horizontal="center" vertical="center"/>
    </xf>
    <xf numFmtId="0" fontId="19" fillId="0" borderId="0" xfId="5" applyFont="1" applyAlignment="1">
      <alignment horizontal="left" vertical="center" wrapText="1"/>
    </xf>
    <xf numFmtId="0" fontId="29" fillId="0" borderId="0" xfId="5" applyFont="1" applyAlignment="1">
      <alignment horizontal="left" vertical="center" wrapText="1"/>
    </xf>
    <xf numFmtId="49" fontId="31" fillId="0" borderId="27" xfId="3" applyNumberFormat="1" applyBorder="1" applyAlignment="1" applyProtection="1">
      <alignment horizontal="left" vertical="center"/>
      <protection locked="0"/>
    </xf>
    <xf numFmtId="49" fontId="31" fillId="0" borderId="24" xfId="3" applyNumberFormat="1" applyBorder="1" applyAlignment="1" applyProtection="1">
      <alignment horizontal="left" vertical="center"/>
      <protection locked="0"/>
    </xf>
    <xf numFmtId="49" fontId="31" fillId="0" borderId="23" xfId="3" applyNumberFormat="1" applyBorder="1" applyAlignment="1" applyProtection="1">
      <alignment horizontal="left" vertical="center"/>
      <protection locked="0"/>
    </xf>
    <xf numFmtId="49" fontId="33" fillId="0" borderId="3" xfId="1" applyNumberFormat="1" applyFont="1" applyBorder="1" applyAlignment="1" applyProtection="1">
      <alignment horizontal="left" vertical="center"/>
      <protection locked="0"/>
    </xf>
    <xf numFmtId="49" fontId="11" fillId="0" borderId="7" xfId="1" applyNumberFormat="1" applyFont="1" applyBorder="1" applyAlignment="1" applyProtection="1">
      <alignment horizontal="left" vertical="center"/>
      <protection locked="0"/>
    </xf>
    <xf numFmtId="49" fontId="33" fillId="0" borderId="7" xfId="1" applyNumberFormat="1" applyFont="1" applyBorder="1" applyAlignment="1" applyProtection="1">
      <alignment horizontal="left" vertical="center"/>
      <protection locked="0"/>
    </xf>
    <xf numFmtId="49" fontId="11" fillId="0" borderId="13" xfId="1" applyNumberFormat="1" applyFont="1" applyBorder="1" applyAlignment="1" applyProtection="1">
      <alignment horizontal="left" vertical="center"/>
      <protection locked="0"/>
    </xf>
    <xf numFmtId="49" fontId="2" fillId="0" borderId="3" xfId="1" applyNumberFormat="1" applyFont="1" applyBorder="1" applyAlignment="1" applyProtection="1">
      <alignment horizontal="left" vertical="center"/>
      <protection locked="0"/>
    </xf>
  </cellXfs>
  <cellStyles count="6">
    <cellStyle name="ハイパーリンク" xfId="3" builtinId="8" customBuiltin="1"/>
    <cellStyle name="標準" xfId="0" builtinId="0"/>
    <cellStyle name="標準 2" xfId="2" xr:uid="{7A6B0CA6-F94B-4538-BCC9-D245202C716F}"/>
    <cellStyle name="標準 3" xfId="4" xr:uid="{00DDE452-A2FD-4247-B3B6-E760CE0D9996}"/>
    <cellStyle name="標準 4" xfId="5" xr:uid="{940ADDF5-9C93-4A71-AE61-D4E659D37E3B}"/>
    <cellStyle name="標準_改善申込書（ＢＳ新規）" xfId="1" xr:uid="{00000000-0005-0000-0000-000001000000}"/>
  </cellStyles>
  <dxfs count="57">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ont>
        <color auto="1"/>
      </font>
      <fill>
        <patternFill>
          <bgColor theme="0" tint="-0.24994659260841701"/>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ont>
        <color auto="1"/>
      </font>
      <fill>
        <patternFill>
          <bgColor theme="0" tint="-0.24994659260841701"/>
        </patternFill>
      </fill>
    </dxf>
    <dxf>
      <fill>
        <patternFill>
          <bgColor rgb="FFFFC000"/>
        </patternFill>
      </fill>
    </dxf>
    <dxf>
      <numFmt numFmtId="176" formatCode="0.00_ "/>
    </dxf>
    <dxf>
      <numFmt numFmtId="176" formatCode="0.00_ "/>
    </dxf>
    <dxf>
      <numFmt numFmtId="176" formatCode="0.00_ "/>
    </dxf>
    <dxf>
      <numFmt numFmtId="0" formatCode="General"/>
    </dxf>
    <dxf>
      <numFmt numFmtId="30" formatCode="@"/>
    </dxf>
    <dxf>
      <numFmt numFmtId="0" formatCode="General"/>
    </dxf>
    <dxf>
      <numFmt numFmtId="0" formatCode="General"/>
    </dxf>
    <dxf>
      <numFmt numFmtId="0" formatCode="General"/>
    </dxf>
    <dxf>
      <numFmt numFmtId="179" formatCode="0_ "/>
    </dxf>
    <dxf>
      <numFmt numFmtId="179" formatCode="0_ "/>
    </dxf>
    <dxf>
      <numFmt numFmtId="179" formatCode="0_ "/>
    </dxf>
    <dxf>
      <numFmt numFmtId="0" formatCode="General"/>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numFmt numFmtId="19" formatCode="yyyy/m/d"/>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border outline="0">
        <top style="thin">
          <color theme="4" tint="0.39997558519241921"/>
        </top>
      </border>
    </dxf>
    <dxf>
      <border outline="0">
        <top style="thin">
          <color theme="4" tint="0.39997558519241921"/>
        </top>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dxf>
    <dxf>
      <border outline="0">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https://support.ntt.com/business/faq/detail/pid2300001ugl"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80434</xdr:colOff>
      <xdr:row>27</xdr:row>
      <xdr:rowOff>95251</xdr:rowOff>
    </xdr:from>
    <xdr:to>
      <xdr:col>4</xdr:col>
      <xdr:colOff>19051</xdr:colOff>
      <xdr:row>29</xdr:row>
      <xdr:rowOff>323850</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80434" y="9493251"/>
          <a:ext cx="1631950" cy="58843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ja-JP" altLang="en-US" sz="1050" b="0" i="0" u="none" strike="noStrike" baseline="0">
            <a:solidFill>
              <a:sysClr val="windowText" lastClr="000000"/>
            </a:solidFill>
            <a:latin typeface="+mn-ea"/>
            <a:ea typeface="+mn-ea"/>
          </a:endParaRPr>
        </a:p>
      </xdr:txBody>
    </xdr:sp>
    <xdr:clientData/>
  </xdr:twoCellAnchor>
  <xdr:twoCellAnchor editAs="oneCell">
    <xdr:from>
      <xdr:col>10</xdr:col>
      <xdr:colOff>10585</xdr:colOff>
      <xdr:row>0</xdr:row>
      <xdr:rowOff>64770</xdr:rowOff>
    </xdr:from>
    <xdr:to>
      <xdr:col>29</xdr:col>
      <xdr:colOff>3629</xdr:colOff>
      <xdr:row>3</xdr:row>
      <xdr:rowOff>19050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3164418" y="64770"/>
          <a:ext cx="4344662" cy="4584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43144</xdr:colOff>
      <xdr:row>0</xdr:row>
      <xdr:rowOff>33616</xdr:rowOff>
    </xdr:from>
    <xdr:to>
      <xdr:col>10</xdr:col>
      <xdr:colOff>112281</xdr:colOff>
      <xdr:row>2</xdr:row>
      <xdr:rowOff>89646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4266" y="33616"/>
          <a:ext cx="3361765" cy="3922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0</xdr:col>
      <xdr:colOff>408516</xdr:colOff>
      <xdr:row>30</xdr:row>
      <xdr:rowOff>229023</xdr:rowOff>
    </xdr:from>
    <xdr:to>
      <xdr:col>31</xdr:col>
      <xdr:colOff>401320</xdr:colOff>
      <xdr:row>35</xdr:row>
      <xdr:rowOff>35859</xdr:rowOff>
    </xdr:to>
    <xdr:sp macro="" textlink="">
      <xdr:nvSpPr>
        <xdr:cNvPr id="10" name="AutoShape 2">
          <a:extLst>
            <a:ext uri="{FF2B5EF4-FFF2-40B4-BE49-F238E27FC236}">
              <a16:creationId xmlns:a16="http://schemas.microsoft.com/office/drawing/2014/main" id="{9DD3F88D-444E-43A8-A008-D5CF216D6384}"/>
            </a:ext>
          </a:extLst>
        </xdr:cNvPr>
        <xdr:cNvSpPr>
          <a:spLocks noChangeArrowheads="1"/>
        </xdr:cNvSpPr>
      </xdr:nvSpPr>
      <xdr:spPr bwMode="auto">
        <a:xfrm>
          <a:off x="408516" y="10690835"/>
          <a:ext cx="8446522" cy="1250153"/>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次に「新規別紙」シートの「対象ご請求番号」をご記入ください。</a:t>
          </a:r>
          <a:endParaRPr lang="en-US" altLang="ja-JP" sz="2000" b="0" i="0" u="none" strike="noStrike"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baseline="0">
            <a:solidFill>
              <a:sysClr val="windowText" lastClr="000000"/>
            </a:solidFill>
            <a:effectLst/>
            <a:latin typeface="+mn-ea"/>
            <a:ea typeface="+mn-ea"/>
            <a:cs typeface="+mn-cs"/>
          </a:endParaRPr>
        </a:p>
        <a:p>
          <a:pPr algn="l" rtl="0">
            <a:lnSpc>
              <a:spcPts val="1100"/>
            </a:lnSpc>
            <a:defRPr sz="1000"/>
          </a:pPr>
          <a:endParaRPr lang="ja-JP" altLang="en-US" sz="2000" b="0" i="0" u="none" strike="noStrike" baseline="0">
            <a:solidFill>
              <a:sysClr val="windowText" lastClr="000000"/>
            </a:solidFill>
            <a:latin typeface="+mn-ea"/>
            <a:ea typeface="+mn-ea"/>
          </a:endParaRPr>
        </a:p>
        <a:p>
          <a:pPr algn="l" rtl="0">
            <a:lnSpc>
              <a:spcPts val="1100"/>
            </a:lnSpc>
            <a:defRPr sz="1000"/>
          </a:pPr>
          <a:r>
            <a:rPr lang="en-US" altLang="ja-JP" sz="2000" b="0" i="0" u="none" strike="noStrike" baseline="0">
              <a:solidFill>
                <a:sysClr val="windowText" lastClr="000000"/>
              </a:solidFill>
              <a:latin typeface="+mn-ea"/>
              <a:ea typeface="+mn-ea"/>
            </a:rPr>
            <a:t>※</a:t>
          </a:r>
          <a:r>
            <a:rPr lang="ja-JP" altLang="en-US" sz="2000" b="0" i="0" u="none" strike="noStrike" baseline="0">
              <a:solidFill>
                <a:sysClr val="windowText" lastClr="000000"/>
              </a:solidFill>
              <a:latin typeface="+mn-ea"/>
              <a:ea typeface="+mn-ea"/>
            </a:rPr>
            <a:t>ファイル形式は</a:t>
          </a:r>
          <a:r>
            <a:rPr lang="ja-JP" altLang="en-US" sz="2000" b="0" i="0" u="none" strike="noStrike" baseline="0">
              <a:solidFill>
                <a:srgbClr val="FF0000"/>
              </a:solidFill>
              <a:latin typeface="+mn-ea"/>
              <a:ea typeface="+mn-ea"/>
            </a:rPr>
            <a:t>エクセルから変えないで</a:t>
          </a:r>
          <a:r>
            <a:rPr lang="ja-JP" altLang="en-US" sz="2000" b="0" i="0" u="none" strike="noStrike" baseline="0">
              <a:solidFill>
                <a:sysClr val="windowText" lastClr="000000"/>
              </a:solidFill>
              <a:latin typeface="+mn-ea"/>
              <a:ea typeface="+mn-ea"/>
            </a:rPr>
            <a:t>アップロードしてください。</a:t>
          </a:r>
          <a:endParaRPr lang="en-US" altLang="ja-JP" sz="2000" b="0" i="0" u="none" strike="noStrike" baseline="0">
            <a:solidFill>
              <a:sysClr val="windowText" lastClr="000000"/>
            </a:solidFill>
            <a:latin typeface="+mn-ea"/>
            <a:ea typeface="+mn-ea"/>
          </a:endParaRPr>
        </a:p>
        <a:p>
          <a:pPr algn="l" rtl="0">
            <a:lnSpc>
              <a:spcPts val="1100"/>
            </a:lnSpc>
            <a:defRPr sz="1000"/>
          </a:pPr>
          <a:endParaRPr lang="en-US" altLang="ja-JP" sz="2000" b="0" i="0" u="none" strike="noStrike" baseline="0">
            <a:solidFill>
              <a:sysClr val="windowText" lastClr="000000"/>
            </a:solidFill>
            <a:latin typeface="+mn-ea"/>
            <a:ea typeface="+mn-ea"/>
          </a:endParaRPr>
        </a:p>
        <a:p>
          <a:pPr algn="l" rtl="0">
            <a:lnSpc>
              <a:spcPts val="1100"/>
            </a:lnSpc>
            <a:defRPr sz="1000"/>
          </a:pPr>
          <a:r>
            <a:rPr lang="ja-JP" altLang="en-US" sz="1800" b="0" i="0" u="none" strike="noStrike" baseline="0">
              <a:solidFill>
                <a:sysClr val="windowText" lastClr="000000"/>
              </a:solidFill>
              <a:latin typeface="+mn-ea"/>
              <a:ea typeface="+mn-ea"/>
            </a:rPr>
            <a:t>　　（拡張子を</a:t>
          </a:r>
          <a:r>
            <a:rPr lang="en-US" altLang="ja-JP" sz="1800" b="0" i="0" u="none" strike="noStrike" baseline="0">
              <a:solidFill>
                <a:sysClr val="windowText" lastClr="000000"/>
              </a:solidFill>
              <a:latin typeface="+mn-ea"/>
              <a:ea typeface="+mn-ea"/>
            </a:rPr>
            <a:t>.xls</a:t>
          </a:r>
          <a:r>
            <a:rPr lang="ja-JP" altLang="en-US" sz="1800" b="0" i="0" u="none" strike="noStrike" baseline="0">
              <a:solidFill>
                <a:sysClr val="windowText" lastClr="000000"/>
              </a:solidFill>
              <a:latin typeface="+mn-ea"/>
              <a:ea typeface="+mn-ea"/>
            </a:rPr>
            <a:t>等に変更しないでください。また</a:t>
          </a:r>
          <a:r>
            <a:rPr lang="en-US" altLang="ja-JP" sz="1800" b="0" i="0" u="none" strike="noStrike" baseline="0">
              <a:solidFill>
                <a:sysClr val="windowText" lastClr="000000"/>
              </a:solidFill>
              <a:latin typeface="+mn-ea"/>
              <a:ea typeface="+mn-ea"/>
            </a:rPr>
            <a:t>PDF</a:t>
          </a:r>
          <a:r>
            <a:rPr lang="ja-JP" altLang="en-US" sz="1800" b="0" i="0" u="none" strike="noStrike" baseline="0">
              <a:solidFill>
                <a:sysClr val="windowText" lastClr="000000"/>
              </a:solidFill>
              <a:latin typeface="+mn-ea"/>
              <a:ea typeface="+mn-ea"/>
            </a:rPr>
            <a:t>形式等に変えないでください。）</a:t>
          </a:r>
        </a:p>
      </xdr:txBody>
    </xdr:sp>
    <xdr:clientData/>
  </xdr:twoCellAnchor>
  <xdr:oneCellAnchor>
    <xdr:from>
      <xdr:col>2</xdr:col>
      <xdr:colOff>166688</xdr:colOff>
      <xdr:row>7</xdr:row>
      <xdr:rowOff>154781</xdr:rowOff>
    </xdr:from>
    <xdr:ext cx="1811265" cy="275717"/>
    <xdr:sp macro="" textlink="">
      <xdr:nvSpPr>
        <xdr:cNvPr id="3" name="テキスト ボックス 2">
          <a:extLst>
            <a:ext uri="{FF2B5EF4-FFF2-40B4-BE49-F238E27FC236}">
              <a16:creationId xmlns:a16="http://schemas.microsoft.com/office/drawing/2014/main" id="{1A189158-9B6C-B851-59EE-CC624C06416D}"/>
            </a:ext>
          </a:extLst>
        </xdr:cNvPr>
        <xdr:cNvSpPr txBox="1"/>
      </xdr:nvSpPr>
      <xdr:spPr>
        <a:xfrm>
          <a:off x="1095376" y="1833562"/>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oneCellAnchor>
    <xdr:from>
      <xdr:col>7</xdr:col>
      <xdr:colOff>235745</xdr:colOff>
      <xdr:row>22</xdr:row>
      <xdr:rowOff>164306</xdr:rowOff>
    </xdr:from>
    <xdr:ext cx="1811265" cy="275717"/>
    <xdr:sp macro="" textlink="">
      <xdr:nvSpPr>
        <xdr:cNvPr id="4" name="テキスト ボックス 3">
          <a:extLst>
            <a:ext uri="{FF2B5EF4-FFF2-40B4-BE49-F238E27FC236}">
              <a16:creationId xmlns:a16="http://schemas.microsoft.com/office/drawing/2014/main" id="{C920D985-4DFB-4230-857A-941017A6892A}"/>
            </a:ext>
          </a:extLst>
        </xdr:cNvPr>
        <xdr:cNvSpPr txBox="1"/>
      </xdr:nvSpPr>
      <xdr:spPr>
        <a:xfrm>
          <a:off x="2878933" y="7248525"/>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twoCellAnchor>
    <xdr:from>
      <xdr:col>11</xdr:col>
      <xdr:colOff>71437</xdr:colOff>
      <xdr:row>5</xdr:row>
      <xdr:rowOff>71437</xdr:rowOff>
    </xdr:from>
    <xdr:to>
      <xdr:col>23</xdr:col>
      <xdr:colOff>202406</xdr:colOff>
      <xdr:row>5</xdr:row>
      <xdr:rowOff>226218</xdr:rowOff>
    </xdr:to>
    <xdr:sp macro="" textlink="">
      <xdr:nvSpPr>
        <xdr:cNvPr id="5" name="正方形/長方形 4">
          <a:hlinkClick xmlns:r="http://schemas.openxmlformats.org/officeDocument/2006/relationships" r:id="rId1"/>
          <a:extLst>
            <a:ext uri="{FF2B5EF4-FFF2-40B4-BE49-F238E27FC236}">
              <a16:creationId xmlns:a16="http://schemas.microsoft.com/office/drawing/2014/main" id="{8F19BDA9-D790-587E-F154-68992092DA2B}"/>
            </a:ext>
          </a:extLst>
        </xdr:cNvPr>
        <xdr:cNvSpPr/>
      </xdr:nvSpPr>
      <xdr:spPr>
        <a:xfrm>
          <a:off x="3881437" y="952500"/>
          <a:ext cx="3131344" cy="15478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28</xdr:col>
      <xdr:colOff>154780</xdr:colOff>
      <xdr:row>0</xdr:row>
      <xdr:rowOff>107156</xdr:rowOff>
    </xdr:from>
    <xdr:to>
      <xdr:col>35</xdr:col>
      <xdr:colOff>452138</xdr:colOff>
      <xdr:row>3</xdr:row>
      <xdr:rowOff>166686</xdr:rowOff>
    </xdr:to>
    <xdr:pic>
      <xdr:nvPicPr>
        <xdr:cNvPr id="6" name="図 5">
          <a:extLst>
            <a:ext uri="{FF2B5EF4-FFF2-40B4-BE49-F238E27FC236}">
              <a16:creationId xmlns:a16="http://schemas.microsoft.com/office/drawing/2014/main" id="{E67BDCE9-EBD1-4401-A024-32D7945CDB02}"/>
            </a:ext>
          </a:extLst>
        </xdr:cNvPr>
        <xdr:cNvPicPr>
          <a:picLocks noChangeAspect="1"/>
        </xdr:cNvPicPr>
      </xdr:nvPicPr>
      <xdr:blipFill>
        <a:blip xmlns:r="http://schemas.openxmlformats.org/officeDocument/2006/relationships" r:embed="rId2"/>
        <a:stretch>
          <a:fillRect/>
        </a:stretch>
      </xdr:blipFill>
      <xdr:spPr>
        <a:xfrm>
          <a:off x="8155780" y="107156"/>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291466</xdr:colOff>
      <xdr:row>7</xdr:row>
      <xdr:rowOff>126547</xdr:rowOff>
    </xdr:from>
    <xdr:to>
      <xdr:col>17</xdr:col>
      <xdr:colOff>511969</xdr:colOff>
      <xdr:row>12</xdr:row>
      <xdr:rowOff>0</xdr:rowOff>
    </xdr:to>
    <xdr:sp macro="" textlink="">
      <xdr:nvSpPr>
        <xdr:cNvPr id="2" name="テキスト ボックス 1">
          <a:extLst>
            <a:ext uri="{FF2B5EF4-FFF2-40B4-BE49-F238E27FC236}">
              <a16:creationId xmlns:a16="http://schemas.microsoft.com/office/drawing/2014/main" id="{AC73D895-B817-44D0-BBCF-9706D001E5C7}"/>
            </a:ext>
          </a:extLst>
        </xdr:cNvPr>
        <xdr:cNvSpPr txBox="1"/>
      </xdr:nvSpPr>
      <xdr:spPr>
        <a:xfrm>
          <a:off x="6506529" y="3293610"/>
          <a:ext cx="3220878" cy="25761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ご確認事項</a:t>
          </a:r>
          <a:r>
            <a:rPr kumimoji="1" lang="en-US" altLang="ja-JP" sz="1100"/>
            <a:t>&gt;</a:t>
          </a:r>
        </a:p>
        <a:p>
          <a:endParaRPr kumimoji="1" lang="en-US" altLang="ja-JP" sz="1100"/>
        </a:p>
        <a:p>
          <a:r>
            <a:rPr kumimoji="1" lang="ja-JP" altLang="en-US" sz="1100"/>
            <a:t>ご請求番号　またはご契約番号のどちらかを必ずご記載ください。</a:t>
          </a:r>
          <a:endParaRPr kumimoji="1" lang="en-US" altLang="ja-JP" sz="1100"/>
        </a:p>
        <a:p>
          <a:r>
            <a:rPr kumimoji="1" lang="en-US" altLang="ja-JP" sz="1100"/>
            <a:t>※</a:t>
          </a:r>
          <a:r>
            <a:rPr kumimoji="1" lang="ja-JP" altLang="en-US" sz="1100"/>
            <a:t>　</a:t>
          </a:r>
          <a:r>
            <a:rPr kumimoji="1" lang="en-US" altLang="ja-JP" sz="1100"/>
            <a:t>NTT</a:t>
          </a:r>
          <a:r>
            <a:rPr kumimoji="1" lang="ja-JP" altLang="en-US" sz="1100"/>
            <a:t>ファイナンス請求の場合、延滞利息等の補正金額がビリングステーションに反映されない事がございます。ご了承の上、お申し込みください。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80434</xdr:colOff>
      <xdr:row>27</xdr:row>
      <xdr:rowOff>95251</xdr:rowOff>
    </xdr:from>
    <xdr:to>
      <xdr:col>4</xdr:col>
      <xdr:colOff>19051</xdr:colOff>
      <xdr:row>29</xdr:row>
      <xdr:rowOff>323850</xdr:rowOff>
    </xdr:to>
    <xdr:sp macro="" textlink="">
      <xdr:nvSpPr>
        <xdr:cNvPr id="2" name="AutoShape 2">
          <a:extLst>
            <a:ext uri="{FF2B5EF4-FFF2-40B4-BE49-F238E27FC236}">
              <a16:creationId xmlns:a16="http://schemas.microsoft.com/office/drawing/2014/main" id="{941010B4-FD4A-4080-A225-CE474E43D355}"/>
            </a:ext>
          </a:extLst>
        </xdr:cNvPr>
        <xdr:cNvSpPr>
          <a:spLocks noChangeArrowheads="1"/>
        </xdr:cNvSpPr>
      </xdr:nvSpPr>
      <xdr:spPr bwMode="auto">
        <a:xfrm>
          <a:off x="82339" y="9864091"/>
          <a:ext cx="1609302" cy="590549"/>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ja-JP" altLang="en-US" sz="1050" b="0" i="0" u="none" strike="noStrike" baseline="0">
            <a:solidFill>
              <a:sysClr val="windowText" lastClr="000000"/>
            </a:solidFill>
            <a:latin typeface="+mn-ea"/>
            <a:ea typeface="+mn-ea"/>
          </a:endParaRPr>
        </a:p>
      </xdr:txBody>
    </xdr:sp>
    <xdr:clientData/>
  </xdr:twoCellAnchor>
  <xdr:twoCellAnchor editAs="oneCell">
    <xdr:from>
      <xdr:col>10</xdr:col>
      <xdr:colOff>10585</xdr:colOff>
      <xdr:row>0</xdr:row>
      <xdr:rowOff>64770</xdr:rowOff>
    </xdr:from>
    <xdr:to>
      <xdr:col>28</xdr:col>
      <xdr:colOff>365580</xdr:colOff>
      <xdr:row>3</xdr:row>
      <xdr:rowOff>17145</xdr:rowOff>
    </xdr:to>
    <xdr:sp macro="" textlink="">
      <xdr:nvSpPr>
        <xdr:cNvPr id="4" name="Text Box 10">
          <a:extLst>
            <a:ext uri="{FF2B5EF4-FFF2-40B4-BE49-F238E27FC236}">
              <a16:creationId xmlns:a16="http://schemas.microsoft.com/office/drawing/2014/main" id="{8A812AC3-A3C1-40BB-AB40-07226DDDCFA6}"/>
            </a:ext>
          </a:extLst>
        </xdr:cNvPr>
        <xdr:cNvSpPr txBox="1">
          <a:spLocks noChangeArrowheads="1"/>
        </xdr:cNvSpPr>
      </xdr:nvSpPr>
      <xdr:spPr bwMode="auto">
        <a:xfrm>
          <a:off x="3117640" y="62865"/>
          <a:ext cx="4296440" cy="470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43144</xdr:colOff>
      <xdr:row>0</xdr:row>
      <xdr:rowOff>33616</xdr:rowOff>
    </xdr:from>
    <xdr:to>
      <xdr:col>10</xdr:col>
      <xdr:colOff>112281</xdr:colOff>
      <xdr:row>2</xdr:row>
      <xdr:rowOff>89646</xdr:rowOff>
    </xdr:to>
    <xdr:sp macro="" textlink="">
      <xdr:nvSpPr>
        <xdr:cNvPr id="5" name="テキスト ボックス 4">
          <a:extLst>
            <a:ext uri="{FF2B5EF4-FFF2-40B4-BE49-F238E27FC236}">
              <a16:creationId xmlns:a16="http://schemas.microsoft.com/office/drawing/2014/main" id="{316EA589-BBE6-47D2-A1CC-899863871A8B}"/>
            </a:ext>
          </a:extLst>
        </xdr:cNvPr>
        <xdr:cNvSpPr txBox="1"/>
      </xdr:nvSpPr>
      <xdr:spPr>
        <a:xfrm>
          <a:off x="45049" y="31711"/>
          <a:ext cx="3172382" cy="4046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0</xdr:col>
      <xdr:colOff>412376</xdr:colOff>
      <xdr:row>30</xdr:row>
      <xdr:rowOff>229023</xdr:rowOff>
    </xdr:from>
    <xdr:to>
      <xdr:col>31</xdr:col>
      <xdr:colOff>401320</xdr:colOff>
      <xdr:row>34</xdr:row>
      <xdr:rowOff>161365</xdr:rowOff>
    </xdr:to>
    <xdr:sp macro="" textlink="">
      <xdr:nvSpPr>
        <xdr:cNvPr id="7" name="AutoShape 2">
          <a:extLst>
            <a:ext uri="{FF2B5EF4-FFF2-40B4-BE49-F238E27FC236}">
              <a16:creationId xmlns:a16="http://schemas.microsoft.com/office/drawing/2014/main" id="{6A2C6B55-ADC6-4CE1-89A3-0248A68CB2BB}"/>
            </a:ext>
          </a:extLst>
        </xdr:cNvPr>
        <xdr:cNvSpPr>
          <a:spLocks noChangeArrowheads="1"/>
        </xdr:cNvSpPr>
      </xdr:nvSpPr>
      <xdr:spPr bwMode="auto">
        <a:xfrm>
          <a:off x="412376" y="10690835"/>
          <a:ext cx="8433697" cy="1205330"/>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次に「新規別紙」シートの「対象ご請求番号」をご記入ください。</a:t>
          </a:r>
          <a:endParaRPr lang="en-US" altLang="ja-JP" sz="2000" b="0" i="0" u="none" strike="noStrike"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baseline="0">
            <a:solidFill>
              <a:sysClr val="windowText" lastClr="000000"/>
            </a:solidFill>
            <a:effectLst/>
            <a:latin typeface="+mn-ea"/>
            <a:ea typeface="+mn-ea"/>
            <a:cs typeface="+mn-cs"/>
          </a:endParaRPr>
        </a:p>
        <a:p>
          <a:pPr algn="l" rtl="0">
            <a:lnSpc>
              <a:spcPts val="1100"/>
            </a:lnSpc>
            <a:defRPr sz="1000"/>
          </a:pPr>
          <a:endParaRPr lang="ja-JP" altLang="en-US" sz="2000" b="0" i="0" u="none" strike="noStrike" baseline="0">
            <a:solidFill>
              <a:sysClr val="windowText" lastClr="000000"/>
            </a:solidFill>
            <a:latin typeface="+mn-ea"/>
            <a:ea typeface="+mn-ea"/>
          </a:endParaRPr>
        </a:p>
        <a:p>
          <a:pPr algn="l" rtl="0">
            <a:lnSpc>
              <a:spcPts val="1100"/>
            </a:lnSpc>
            <a:defRPr sz="1000"/>
          </a:pPr>
          <a:r>
            <a:rPr lang="en-US" altLang="ja-JP" sz="2000" b="0" i="0" u="none" strike="noStrike" baseline="0">
              <a:solidFill>
                <a:sysClr val="windowText" lastClr="000000"/>
              </a:solidFill>
              <a:latin typeface="+mn-ea"/>
              <a:ea typeface="+mn-ea"/>
            </a:rPr>
            <a:t>※</a:t>
          </a:r>
          <a:r>
            <a:rPr lang="ja-JP" altLang="en-US" sz="2000" b="0" i="0" u="none" strike="noStrike" baseline="0">
              <a:solidFill>
                <a:sysClr val="windowText" lastClr="000000"/>
              </a:solidFill>
              <a:latin typeface="+mn-ea"/>
              <a:ea typeface="+mn-ea"/>
            </a:rPr>
            <a:t>ファイル形式は</a:t>
          </a:r>
          <a:r>
            <a:rPr lang="ja-JP" altLang="en-US" sz="2000" b="0" i="0" u="none" strike="noStrike" baseline="0">
              <a:solidFill>
                <a:srgbClr val="FF0000"/>
              </a:solidFill>
              <a:latin typeface="+mn-ea"/>
              <a:ea typeface="+mn-ea"/>
            </a:rPr>
            <a:t>エクセルから変えないで</a:t>
          </a:r>
          <a:r>
            <a:rPr lang="ja-JP" altLang="en-US" sz="2000" b="0" i="0" u="none" strike="noStrike" baseline="0">
              <a:solidFill>
                <a:sysClr val="windowText" lastClr="000000"/>
              </a:solidFill>
              <a:latin typeface="+mn-ea"/>
              <a:ea typeface="+mn-ea"/>
            </a:rPr>
            <a:t>アップロードしてください。</a:t>
          </a:r>
          <a:endParaRPr lang="en-US" altLang="ja-JP" sz="2000" b="0" i="0" u="none" strike="noStrike" baseline="0">
            <a:solidFill>
              <a:sysClr val="windowText" lastClr="000000"/>
            </a:solidFill>
            <a:latin typeface="+mn-ea"/>
            <a:ea typeface="+mn-ea"/>
          </a:endParaRPr>
        </a:p>
        <a:p>
          <a:pPr algn="l" rtl="0">
            <a:lnSpc>
              <a:spcPts val="1100"/>
            </a:lnSpc>
            <a:defRPr sz="1000"/>
          </a:pPr>
          <a:endParaRPr lang="en-US" altLang="ja-JP" sz="1800" b="0" i="0" u="none" strike="noStrike" baseline="0">
            <a:solidFill>
              <a:sysClr val="windowText" lastClr="000000"/>
            </a:solidFill>
            <a:latin typeface="+mn-ea"/>
            <a:ea typeface="+mn-ea"/>
          </a:endParaRPr>
        </a:p>
        <a:p>
          <a:pPr algn="l" rtl="0">
            <a:lnSpc>
              <a:spcPts val="1100"/>
            </a:lnSpc>
            <a:defRPr sz="1000"/>
          </a:pPr>
          <a:r>
            <a:rPr lang="ja-JP" altLang="en-US" sz="1800" b="0" i="0" u="none" strike="noStrike" baseline="0">
              <a:solidFill>
                <a:sysClr val="windowText" lastClr="000000"/>
              </a:solidFill>
              <a:latin typeface="+mn-ea"/>
              <a:ea typeface="+mn-ea"/>
            </a:rPr>
            <a:t>　　（拡張子を</a:t>
          </a:r>
          <a:r>
            <a:rPr lang="en-US" altLang="ja-JP" sz="1800" b="0" i="0" u="none" strike="noStrike" baseline="0">
              <a:solidFill>
                <a:sysClr val="windowText" lastClr="000000"/>
              </a:solidFill>
              <a:latin typeface="+mn-ea"/>
              <a:ea typeface="+mn-ea"/>
            </a:rPr>
            <a:t>.xls</a:t>
          </a:r>
          <a:r>
            <a:rPr lang="ja-JP" altLang="en-US" sz="1800" b="0" i="0" u="none" strike="noStrike" baseline="0">
              <a:solidFill>
                <a:sysClr val="windowText" lastClr="000000"/>
              </a:solidFill>
              <a:latin typeface="+mn-ea"/>
              <a:ea typeface="+mn-ea"/>
            </a:rPr>
            <a:t>等に変更しないでください。また</a:t>
          </a:r>
          <a:r>
            <a:rPr lang="en-US" altLang="ja-JP" sz="1800" b="0" i="0" u="none" strike="noStrike" baseline="0">
              <a:solidFill>
                <a:sysClr val="windowText" lastClr="000000"/>
              </a:solidFill>
              <a:latin typeface="+mn-ea"/>
              <a:ea typeface="+mn-ea"/>
            </a:rPr>
            <a:t>PDF</a:t>
          </a:r>
          <a:r>
            <a:rPr lang="ja-JP" altLang="en-US" sz="1800" b="0" i="0" u="none" strike="noStrike" baseline="0">
              <a:solidFill>
                <a:sysClr val="windowText" lastClr="000000"/>
              </a:solidFill>
              <a:latin typeface="+mn-ea"/>
              <a:ea typeface="+mn-ea"/>
            </a:rPr>
            <a:t>形式等に変えないでください。）</a:t>
          </a:r>
          <a:endParaRPr lang="ja-JP" altLang="en-US" sz="2000" b="0" i="0" u="none" strike="noStrike" baseline="0">
            <a:solidFill>
              <a:sysClr val="windowText" lastClr="000000"/>
            </a:solidFill>
            <a:latin typeface="+mn-ea"/>
            <a:ea typeface="+mn-ea"/>
          </a:endParaRPr>
        </a:p>
      </xdr:txBody>
    </xdr:sp>
    <xdr:clientData/>
  </xdr:twoCellAnchor>
  <xdr:twoCellAnchor>
    <xdr:from>
      <xdr:col>15</xdr:col>
      <xdr:colOff>198345</xdr:colOff>
      <xdr:row>12</xdr:row>
      <xdr:rowOff>475130</xdr:rowOff>
    </xdr:from>
    <xdr:to>
      <xdr:col>25</xdr:col>
      <xdr:colOff>158537</xdr:colOff>
      <xdr:row>15</xdr:row>
      <xdr:rowOff>259583</xdr:rowOff>
    </xdr:to>
    <xdr:sp macro="" textlink="">
      <xdr:nvSpPr>
        <xdr:cNvPr id="8" name="吹き出し: 角を丸めた四角形 7">
          <a:extLst>
            <a:ext uri="{FF2B5EF4-FFF2-40B4-BE49-F238E27FC236}">
              <a16:creationId xmlns:a16="http://schemas.microsoft.com/office/drawing/2014/main" id="{2FC8FEB8-D2B6-445B-A8F6-9D6116F67B61}"/>
            </a:ext>
          </a:extLst>
        </xdr:cNvPr>
        <xdr:cNvSpPr/>
      </xdr:nvSpPr>
      <xdr:spPr>
        <a:xfrm>
          <a:off x="4411757" y="3460377"/>
          <a:ext cx="2165509" cy="609206"/>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18</xdr:col>
      <xdr:colOff>29276</xdr:colOff>
      <xdr:row>7</xdr:row>
      <xdr:rowOff>146430</xdr:rowOff>
    </xdr:from>
    <xdr:to>
      <xdr:col>28</xdr:col>
      <xdr:colOff>271855</xdr:colOff>
      <xdr:row>11</xdr:row>
      <xdr:rowOff>121077</xdr:rowOff>
    </xdr:to>
    <xdr:sp macro="" textlink="">
      <xdr:nvSpPr>
        <xdr:cNvPr id="9" name="吹き出し: 角を丸めた四角形 8">
          <a:extLst>
            <a:ext uri="{FF2B5EF4-FFF2-40B4-BE49-F238E27FC236}">
              <a16:creationId xmlns:a16="http://schemas.microsoft.com/office/drawing/2014/main" id="{E6FC67CA-CBEB-4B7C-A761-50709D8E5100}"/>
            </a:ext>
          </a:extLst>
        </xdr:cNvPr>
        <xdr:cNvSpPr/>
      </xdr:nvSpPr>
      <xdr:spPr>
        <a:xfrm>
          <a:off x="4941935" y="1849724"/>
          <a:ext cx="2394108" cy="978694"/>
        </a:xfrm>
        <a:prstGeom prst="wedgeRoundRectCallout">
          <a:avLst>
            <a:gd name="adj1" fmla="val -47473"/>
            <a:gd name="adj2" fmla="val 90914"/>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「株式会社」含め正確に記載ください</a:t>
          </a:r>
        </a:p>
      </xdr:txBody>
    </xdr:sp>
    <xdr:clientData/>
  </xdr:twoCellAnchor>
  <xdr:twoCellAnchor>
    <xdr:from>
      <xdr:col>17</xdr:col>
      <xdr:colOff>220898</xdr:colOff>
      <xdr:row>16</xdr:row>
      <xdr:rowOff>717624</xdr:rowOff>
    </xdr:from>
    <xdr:to>
      <xdr:col>27</xdr:col>
      <xdr:colOff>188372</xdr:colOff>
      <xdr:row>18</xdr:row>
      <xdr:rowOff>238685</xdr:rowOff>
    </xdr:to>
    <xdr:sp macro="" textlink="">
      <xdr:nvSpPr>
        <xdr:cNvPr id="11" name="吹き出し: 角を丸めた四角形 10">
          <a:extLst>
            <a:ext uri="{FF2B5EF4-FFF2-40B4-BE49-F238E27FC236}">
              <a16:creationId xmlns:a16="http://schemas.microsoft.com/office/drawing/2014/main" id="{58D7071E-4220-4E4F-8882-216C68BC7689}"/>
            </a:ext>
          </a:extLst>
        </xdr:cNvPr>
        <xdr:cNvSpPr/>
      </xdr:nvSpPr>
      <xdr:spPr>
        <a:xfrm>
          <a:off x="4900474" y="5262730"/>
          <a:ext cx="2136933" cy="605790"/>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24</xdr:col>
      <xdr:colOff>206443</xdr:colOff>
      <xdr:row>23</xdr:row>
      <xdr:rowOff>206188</xdr:rowOff>
    </xdr:from>
    <xdr:to>
      <xdr:col>35</xdr:col>
      <xdr:colOff>145959</xdr:colOff>
      <xdr:row>24</xdr:row>
      <xdr:rowOff>555812</xdr:rowOff>
    </xdr:to>
    <xdr:sp macro="" textlink="">
      <xdr:nvSpPr>
        <xdr:cNvPr id="14" name="吹き出し: 角を丸めた四角形 13">
          <a:extLst>
            <a:ext uri="{FF2B5EF4-FFF2-40B4-BE49-F238E27FC236}">
              <a16:creationId xmlns:a16="http://schemas.microsoft.com/office/drawing/2014/main" id="{DA9C2D96-43E6-428E-ABC8-FEDE518A81B0}"/>
            </a:ext>
          </a:extLst>
        </xdr:cNvPr>
        <xdr:cNvSpPr/>
      </xdr:nvSpPr>
      <xdr:spPr>
        <a:xfrm>
          <a:off x="6410019" y="7584141"/>
          <a:ext cx="3749516" cy="618565"/>
        </a:xfrm>
        <a:prstGeom prst="wedgeRoundRectCallout">
          <a:avLst>
            <a:gd name="adj1" fmla="val -61583"/>
            <a:gd name="adj2" fmla="val 20693"/>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メールアドレスは</a:t>
          </a:r>
          <a:r>
            <a:rPr kumimoji="1" lang="en-US" altLang="ja-JP" sz="1400">
              <a:solidFill>
                <a:sysClr val="windowText" lastClr="000000"/>
              </a:solidFill>
              <a:latin typeface="メイリオ" panose="020B0604030504040204" pitchFamily="50" charset="-128"/>
              <a:ea typeface="メイリオ" panose="020B0604030504040204" pitchFamily="50" charset="-128"/>
            </a:rPr>
            <a:t>1</a:t>
          </a:r>
          <a:r>
            <a:rPr kumimoji="1" lang="ja-JP" altLang="en-US" sz="1400">
              <a:solidFill>
                <a:sysClr val="windowText" lastClr="000000"/>
              </a:solidFill>
              <a:latin typeface="メイリオ" panose="020B0604030504040204" pitchFamily="50" charset="-128"/>
              <a:ea typeface="メイリオ" panose="020B0604030504040204" pitchFamily="50" charset="-128"/>
            </a:rPr>
            <a:t>つだけ記載ください</a:t>
          </a:r>
        </a:p>
      </xdr:txBody>
    </xdr:sp>
    <xdr:clientData/>
  </xdr:twoCellAnchor>
  <xdr:twoCellAnchor>
    <xdr:from>
      <xdr:col>32</xdr:col>
      <xdr:colOff>203611</xdr:colOff>
      <xdr:row>26</xdr:row>
      <xdr:rowOff>93457</xdr:rowOff>
    </xdr:from>
    <xdr:to>
      <xdr:col>47</xdr:col>
      <xdr:colOff>136711</xdr:colOff>
      <xdr:row>40</xdr:row>
      <xdr:rowOff>131780</xdr:rowOff>
    </xdr:to>
    <xdr:sp macro="" textlink="">
      <xdr:nvSpPr>
        <xdr:cNvPr id="3" name="吹き出し: 角を丸めた四角形 2">
          <a:extLst>
            <a:ext uri="{FF2B5EF4-FFF2-40B4-BE49-F238E27FC236}">
              <a16:creationId xmlns:a16="http://schemas.microsoft.com/office/drawing/2014/main" id="{6B1EE3A5-9CF6-4545-9EDC-2E3D0129CAD2}"/>
            </a:ext>
          </a:extLst>
        </xdr:cNvPr>
        <xdr:cNvSpPr/>
      </xdr:nvSpPr>
      <xdr:spPr>
        <a:xfrm>
          <a:off x="8832140" y="9147810"/>
          <a:ext cx="4303395" cy="3669029"/>
        </a:xfrm>
        <a:prstGeom prst="wedgeRoundRectCallout">
          <a:avLst>
            <a:gd name="adj1" fmla="val -157823"/>
            <a:gd name="adj2" fmla="val -4324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エクセル利用時は</a:t>
          </a:r>
          <a:r>
            <a:rPr kumimoji="1" lang="en-US" altLang="ja-JP" sz="1400">
              <a:solidFill>
                <a:sysClr val="windowText" lastClr="000000"/>
              </a:solidFill>
              <a:latin typeface="メイリオ" panose="020B0604030504040204" pitchFamily="50" charset="-128"/>
              <a:ea typeface="メイリオ" panose="020B0604030504040204" pitchFamily="50" charset="-128"/>
            </a:rPr>
            <a:t>CSV</a:t>
          </a:r>
          <a:r>
            <a:rPr kumimoji="1" lang="ja-JP" altLang="en-US" sz="1400">
              <a:solidFill>
                <a:sysClr val="windowText" lastClr="000000"/>
              </a:solidFill>
              <a:latin typeface="メイリオ" panose="020B0604030504040204" pitchFamily="50" charset="-128"/>
              <a:ea typeface="メイリオ" panose="020B0604030504040204" pitchFamily="50" charset="-128"/>
            </a:rPr>
            <a:t>を選択ください。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a:t>
          </a:r>
          <a:r>
            <a:rPr kumimoji="1" lang="ja-JP" altLang="en-US" sz="1400">
              <a:solidFill>
                <a:sysClr val="windowText" lastClr="000000"/>
              </a:solidFill>
              <a:latin typeface="メイリオ" panose="020B0604030504040204" pitchFamily="50" charset="-128"/>
              <a:ea typeface="メイリオ" panose="020B0604030504040204" pitchFamily="50" charset="-128"/>
            </a:rPr>
            <a:t>適格請求書はこちらの指定にかかわらず</a:t>
          </a:r>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200">
              <a:solidFill>
                <a:sysClr val="windowText" lastClr="000000"/>
              </a:solidFill>
              <a:latin typeface="メイリオ" panose="020B0604030504040204" pitchFamily="50" charset="-128"/>
              <a:ea typeface="メイリオ" panose="020B0604030504040204" pitchFamily="50" charset="-128"/>
            </a:rPr>
            <a:t>※csv</a:t>
          </a:r>
          <a:r>
            <a:rPr kumimoji="1" lang="ja-JP" altLang="en-US" sz="1200">
              <a:solidFill>
                <a:sysClr val="windowText" lastClr="000000"/>
              </a:solidFill>
              <a:latin typeface="メイリオ" panose="020B0604030504040204" pitchFamily="50" charset="-128"/>
              <a:ea typeface="メイリオ" panose="020B0604030504040204" pitchFamily="50" charset="-128"/>
            </a:rPr>
            <a:t>：エクセルを使う場合など通常はこちらを選んでください。カンマ区切りのデータです。</a:t>
          </a:r>
          <a:br>
            <a:rPr kumimoji="1" lang="ja-JP" altLang="en-US" sz="1200">
              <a:solidFill>
                <a:sysClr val="windowText" lastClr="000000"/>
              </a:solidFill>
              <a:latin typeface="メイリオ" panose="020B0604030504040204" pitchFamily="50" charset="-128"/>
              <a:ea typeface="メイリオ" panose="020B0604030504040204" pitchFamily="50" charset="-128"/>
            </a:rPr>
          </a:br>
          <a:r>
            <a:rPr kumimoji="1" lang="ja-JP" altLang="en-US" sz="1200">
              <a:solidFill>
                <a:sysClr val="windowText" lastClr="000000"/>
              </a:solidFill>
              <a:latin typeface="メイリオ" panose="020B0604030504040204" pitchFamily="50" charset="-128"/>
              <a:ea typeface="メイリオ" panose="020B0604030504040204" pitchFamily="50" charset="-128"/>
            </a:rPr>
            <a:t>固定長：データの桁数が項目ごとにあらかじめ決まっています。古いシステムで可変長データに対応していないものを使う場合はこちらを選んでください。</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6</xdr:col>
      <xdr:colOff>224118</xdr:colOff>
      <xdr:row>36</xdr:row>
      <xdr:rowOff>71718</xdr:rowOff>
    </xdr:from>
    <xdr:to>
      <xdr:col>28</xdr:col>
      <xdr:colOff>121248</xdr:colOff>
      <xdr:row>44</xdr:row>
      <xdr:rowOff>34964</xdr:rowOff>
    </xdr:to>
    <xdr:sp macro="" textlink="">
      <xdr:nvSpPr>
        <xdr:cNvPr id="10" name="吹き出し: 角を丸めた四角形 9">
          <a:extLst>
            <a:ext uri="{FF2B5EF4-FFF2-40B4-BE49-F238E27FC236}">
              <a16:creationId xmlns:a16="http://schemas.microsoft.com/office/drawing/2014/main" id="{47679BD4-A5FD-4ECD-89C1-DEECD88453C5}"/>
            </a:ext>
          </a:extLst>
        </xdr:cNvPr>
        <xdr:cNvSpPr/>
      </xdr:nvSpPr>
      <xdr:spPr>
        <a:xfrm>
          <a:off x="2375647" y="12147177"/>
          <a:ext cx="4926330" cy="1325881"/>
        </a:xfrm>
        <a:prstGeom prst="wedgeRoundRectCallout">
          <a:avLst>
            <a:gd name="adj1" fmla="val -31812"/>
            <a:gd name="adj2" fmla="val -7714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登録データとして用いるため、</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形式で保存したり拡張子を変更したりせず、</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拡張子が</a:t>
          </a:r>
          <a:r>
            <a:rPr kumimoji="1" lang="en-US" altLang="ja-JP" sz="1400">
              <a:solidFill>
                <a:sysClr val="windowText" lastClr="000000"/>
              </a:solidFill>
              <a:latin typeface="メイリオ" panose="020B0604030504040204" pitchFamily="50" charset="-128"/>
              <a:ea typeface="メイリオ" panose="020B0604030504040204" pitchFamily="50" charset="-128"/>
            </a:rPr>
            <a:t>.xlsx</a:t>
          </a:r>
          <a:r>
            <a:rPr kumimoji="1" lang="ja-JP" altLang="en-US" sz="1400">
              <a:solidFill>
                <a:sysClr val="windowText" lastClr="000000"/>
              </a:solidFill>
              <a:latin typeface="メイリオ" panose="020B0604030504040204" pitchFamily="50" charset="-128"/>
              <a:ea typeface="メイリオ" panose="020B0604030504040204" pitchFamily="50" charset="-128"/>
            </a:rPr>
            <a:t>のエクセルファイルのまま送付ください</a:t>
          </a:r>
        </a:p>
      </xdr:txBody>
    </xdr:sp>
    <xdr:clientData/>
  </xdr:twoCellAnchor>
  <xdr:oneCellAnchor>
    <xdr:from>
      <xdr:col>2</xdr:col>
      <xdr:colOff>154781</xdr:colOff>
      <xdr:row>8</xdr:row>
      <xdr:rowOff>0</xdr:rowOff>
    </xdr:from>
    <xdr:ext cx="1811265" cy="275717"/>
    <xdr:sp macro="" textlink="">
      <xdr:nvSpPr>
        <xdr:cNvPr id="12" name="テキスト ボックス 11">
          <a:extLst>
            <a:ext uri="{FF2B5EF4-FFF2-40B4-BE49-F238E27FC236}">
              <a16:creationId xmlns:a16="http://schemas.microsoft.com/office/drawing/2014/main" id="{A7A95E28-DABF-499E-9F30-D780190EAAF6}"/>
            </a:ext>
          </a:extLst>
        </xdr:cNvPr>
        <xdr:cNvSpPr txBox="1"/>
      </xdr:nvSpPr>
      <xdr:spPr>
        <a:xfrm>
          <a:off x="1083469" y="1845469"/>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oneCellAnchor>
    <xdr:from>
      <xdr:col>7</xdr:col>
      <xdr:colOff>223838</xdr:colOff>
      <xdr:row>23</xdr:row>
      <xdr:rowOff>9526</xdr:rowOff>
    </xdr:from>
    <xdr:ext cx="1811265" cy="275717"/>
    <xdr:sp macro="" textlink="">
      <xdr:nvSpPr>
        <xdr:cNvPr id="13" name="テキスト ボックス 12">
          <a:extLst>
            <a:ext uri="{FF2B5EF4-FFF2-40B4-BE49-F238E27FC236}">
              <a16:creationId xmlns:a16="http://schemas.microsoft.com/office/drawing/2014/main" id="{8028F991-251F-4FE6-8A69-5D279EEE570D}"/>
            </a:ext>
          </a:extLst>
        </xdr:cNvPr>
        <xdr:cNvSpPr txBox="1"/>
      </xdr:nvSpPr>
      <xdr:spPr>
        <a:xfrm>
          <a:off x="2867026" y="7260432"/>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twoCellAnchor editAs="oneCell">
    <xdr:from>
      <xdr:col>28</xdr:col>
      <xdr:colOff>178595</xdr:colOff>
      <xdr:row>0</xdr:row>
      <xdr:rowOff>107156</xdr:rowOff>
    </xdr:from>
    <xdr:to>
      <xdr:col>36</xdr:col>
      <xdr:colOff>11609</xdr:colOff>
      <xdr:row>3</xdr:row>
      <xdr:rowOff>166686</xdr:rowOff>
    </xdr:to>
    <xdr:pic>
      <xdr:nvPicPr>
        <xdr:cNvPr id="15" name="図 14">
          <a:extLst>
            <a:ext uri="{FF2B5EF4-FFF2-40B4-BE49-F238E27FC236}">
              <a16:creationId xmlns:a16="http://schemas.microsoft.com/office/drawing/2014/main" id="{1FFF63C6-4BE6-4AA9-8F84-48A9E1B8ACB3}"/>
            </a:ext>
          </a:extLst>
        </xdr:cNvPr>
        <xdr:cNvPicPr>
          <a:picLocks noChangeAspect="1"/>
        </xdr:cNvPicPr>
      </xdr:nvPicPr>
      <xdr:blipFill>
        <a:blip xmlns:r="http://schemas.openxmlformats.org/officeDocument/2006/relationships" r:embed="rId1"/>
        <a:stretch>
          <a:fillRect/>
        </a:stretch>
      </xdr:blipFill>
      <xdr:spPr>
        <a:xfrm>
          <a:off x="8167689" y="107156"/>
          <a:ext cx="3547764" cy="5595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166687</xdr:colOff>
      <xdr:row>6</xdr:row>
      <xdr:rowOff>202405</xdr:rowOff>
    </xdr:from>
    <xdr:to>
      <xdr:col>17</xdr:col>
      <xdr:colOff>398620</xdr:colOff>
      <xdr:row>10</xdr:row>
      <xdr:rowOff>141580</xdr:rowOff>
    </xdr:to>
    <xdr:sp macro="" textlink="">
      <xdr:nvSpPr>
        <xdr:cNvPr id="4" name="テキスト ボックス 3">
          <a:extLst>
            <a:ext uri="{FF2B5EF4-FFF2-40B4-BE49-F238E27FC236}">
              <a16:creationId xmlns:a16="http://schemas.microsoft.com/office/drawing/2014/main" id="{1DBD09CE-91E5-48E3-B9D0-4504DF1A461A}"/>
            </a:ext>
          </a:extLst>
        </xdr:cNvPr>
        <xdr:cNvSpPr txBox="1"/>
      </xdr:nvSpPr>
      <xdr:spPr>
        <a:xfrm>
          <a:off x="6381750" y="2893218"/>
          <a:ext cx="3232308" cy="25704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ご確認事項</a:t>
          </a:r>
          <a:r>
            <a:rPr kumimoji="1" lang="en-US" altLang="ja-JP" sz="1100"/>
            <a:t>&gt;</a:t>
          </a:r>
        </a:p>
        <a:p>
          <a:endParaRPr kumimoji="1" lang="en-US" altLang="ja-JP" sz="1100"/>
        </a:p>
        <a:p>
          <a:r>
            <a:rPr kumimoji="1" lang="ja-JP" altLang="en-US" sz="1100"/>
            <a:t>ご請求番号　またはご契約番号のどちらかを必ずご記載ください。</a:t>
          </a:r>
          <a:endParaRPr kumimoji="1" lang="en-US" altLang="ja-JP" sz="1100"/>
        </a:p>
        <a:p>
          <a:r>
            <a:rPr kumimoji="1" lang="en-US" altLang="ja-JP" sz="1100"/>
            <a:t>※</a:t>
          </a:r>
          <a:r>
            <a:rPr kumimoji="1" lang="ja-JP" altLang="en-US" sz="1100"/>
            <a:t>　</a:t>
          </a:r>
          <a:r>
            <a:rPr kumimoji="1" lang="en-US" altLang="ja-JP" sz="1100"/>
            <a:t>NTT</a:t>
          </a:r>
          <a:r>
            <a:rPr kumimoji="1" lang="ja-JP" altLang="en-US" sz="1100"/>
            <a:t>ファイナンス請求の場合、延滞利息等の補正金額がビリングステーションに反映されない事がございます。ご了承の上、お申し込みください。</a:t>
          </a:r>
        </a:p>
      </xdr:txBody>
    </xdr:sp>
    <xdr:clientData/>
  </xdr:twoCellAnchor>
  <xdr:twoCellAnchor>
    <xdr:from>
      <xdr:col>5</xdr:col>
      <xdr:colOff>196691</xdr:colOff>
      <xdr:row>9</xdr:row>
      <xdr:rowOff>82391</xdr:rowOff>
    </xdr:from>
    <xdr:to>
      <xdr:col>15</xdr:col>
      <xdr:colOff>280035</xdr:colOff>
      <xdr:row>19</xdr:row>
      <xdr:rowOff>151924</xdr:rowOff>
    </xdr:to>
    <xdr:sp macro="" textlink="">
      <xdr:nvSpPr>
        <xdr:cNvPr id="3" name="吹き出し: 角を丸めた四角形 2">
          <a:extLst>
            <a:ext uri="{FF2B5EF4-FFF2-40B4-BE49-F238E27FC236}">
              <a16:creationId xmlns:a16="http://schemas.microsoft.com/office/drawing/2014/main" id="{054C8A12-40B4-49C1-BDF3-C265FA329AEC}"/>
            </a:ext>
          </a:extLst>
        </xdr:cNvPr>
        <xdr:cNvSpPr/>
      </xdr:nvSpPr>
      <xdr:spPr>
        <a:xfrm>
          <a:off x="2939891" y="5140166"/>
          <a:ext cx="5055394" cy="2831783"/>
        </a:xfrm>
        <a:prstGeom prst="wedgeRoundRectCallout">
          <a:avLst>
            <a:gd name="adj1" fmla="val -40558"/>
            <a:gd name="adj2" fmla="val 70196"/>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オレンジ網掛けで注意が出る場合は、ご請求番号の形式が異なります。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桁数、ご請求番号ではない番号を書いていないか　などご確認ください。</a:t>
          </a:r>
        </a:p>
      </xdr:txBody>
    </xdr:sp>
    <xdr:clientData/>
  </xdr:twoCellAnchor>
  <xdr:twoCellAnchor editAs="oneCell">
    <xdr:from>
      <xdr:col>5</xdr:col>
      <xdr:colOff>492442</xdr:colOff>
      <xdr:row>11</xdr:row>
      <xdr:rowOff>25718</xdr:rowOff>
    </xdr:from>
    <xdr:to>
      <xdr:col>6</xdr:col>
      <xdr:colOff>454613</xdr:colOff>
      <xdr:row>12</xdr:row>
      <xdr:rowOff>18541</xdr:rowOff>
    </xdr:to>
    <xdr:pic>
      <xdr:nvPicPr>
        <xdr:cNvPr id="7" name="図 6">
          <a:extLst>
            <a:ext uri="{FF2B5EF4-FFF2-40B4-BE49-F238E27FC236}">
              <a16:creationId xmlns:a16="http://schemas.microsoft.com/office/drawing/2014/main" id="{F0DC9294-7B80-412F-9EE1-09F4591B243F}"/>
            </a:ext>
          </a:extLst>
        </xdr:cNvPr>
        <xdr:cNvPicPr>
          <a:picLocks noChangeAspect="1"/>
        </xdr:cNvPicPr>
      </xdr:nvPicPr>
      <xdr:blipFill>
        <a:blip xmlns:r="http://schemas.openxmlformats.org/officeDocument/2006/relationships" r:embed="rId1"/>
        <a:stretch>
          <a:fillRect/>
        </a:stretch>
      </xdr:blipFill>
      <xdr:spPr>
        <a:xfrm>
          <a:off x="3235642" y="5635943"/>
          <a:ext cx="1667146" cy="269048"/>
        </a:xfrm>
        <a:prstGeom prst="rect">
          <a:avLst/>
        </a:prstGeom>
      </xdr:spPr>
    </xdr:pic>
    <xdr:clientData/>
  </xdr:twoCellAnchor>
  <xdr:twoCellAnchor>
    <xdr:from>
      <xdr:col>4</xdr:col>
      <xdr:colOff>562967</xdr:colOff>
      <xdr:row>3</xdr:row>
      <xdr:rowOff>168529</xdr:rowOff>
    </xdr:from>
    <xdr:to>
      <xdr:col>6</xdr:col>
      <xdr:colOff>931109</xdr:colOff>
      <xdr:row>6</xdr:row>
      <xdr:rowOff>476250</xdr:rowOff>
    </xdr:to>
    <xdr:sp macro="" textlink="">
      <xdr:nvSpPr>
        <xdr:cNvPr id="8" name="吹き出し: 角を丸めた四角形 7">
          <a:hlinkClick xmlns:r="http://schemas.openxmlformats.org/officeDocument/2006/relationships" r:id="rId2"/>
          <a:extLst>
            <a:ext uri="{FF2B5EF4-FFF2-40B4-BE49-F238E27FC236}">
              <a16:creationId xmlns:a16="http://schemas.microsoft.com/office/drawing/2014/main" id="{5C667C20-E410-4A4C-B4D3-2C84C52685B3}"/>
            </a:ext>
          </a:extLst>
        </xdr:cNvPr>
        <xdr:cNvSpPr/>
      </xdr:nvSpPr>
      <xdr:spPr>
        <a:xfrm>
          <a:off x="2253655" y="1549654"/>
          <a:ext cx="3749517" cy="1415002"/>
        </a:xfrm>
        <a:prstGeom prst="wedgeRoundRectCallout">
          <a:avLst>
            <a:gd name="adj1" fmla="val -38926"/>
            <a:gd name="adj2" fmla="val 6506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ご請求番号の確認方法：</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https://support.ntt.com/business/faq/detail/pid2300001ugl</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CCD35D6-A0AD-4020-A1FF-F94A46DD4123}" name="新規申込書" displayName="新規申込書" ref="A8:Y9" totalsRowShown="0" headerRowDxfId="56" dataDxfId="54" headerRowBorderDxfId="55" tableBorderDxfId="53" totalsRowBorderDxfId="52">
  <autoFilter ref="A8:Y9" xr:uid="{5CCD35D6-A0AD-4020-A1FF-F94A46DD4123}"/>
  <tableColumns count="25">
    <tableColumn id="1" xr3:uid="{42E044FB-CEFE-4F40-AF58-FBB539B44DE6}" name="ファイル名" dataDxfId="51"/>
    <tableColumn id="2" xr3:uid="{1B380286-7DA8-4774-9E07-A8CBE2C21435}" name="お申込年月日" dataDxfId="50">
      <calculatedColumnFormula>ASC(IF(applicationArrivalDate="","",applicationArrivalDate))</calculatedColumnFormula>
    </tableColumn>
    <tableColumn id="3" xr3:uid="{CFBECECD-92D0-48E4-B74B-B1E8A3F54CD0}" name="ご契約者名（会社名）フリガナ" dataDxfId="49">
      <calculatedColumnFormula array="1">IF(SUMPRODUCT(--ISNUMBER(FIND(MID(Y1, ROW(INDIRECT("1:" &amp; LEN(Y1))),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～")))=LEN(Y1), Y1, 1/0)</calculatedColumnFormula>
    </tableColumn>
    <tableColumn id="4" xr3:uid="{A39313CC-A373-40B4-8880-D66B8595D30D}" name="ご契約者名（会社名）" dataDxfId="48">
      <calculatedColumnFormula>DBCS(SUBSTITUTE(SUBSTITUTE(TRIM(contractCustomerName)," ","　"),CHAR(10),"　"))</calculatedColumnFormula>
    </tableColumn>
    <tableColumn id="23" xr3:uid="{08011F25-114C-458D-A808-504CDECD9053}" name="ご契約名義変更フラグ" dataDxfId="47"/>
    <tableColumn id="5" xr3:uid="{5393E043-6FE9-4735-8FF5-344C38530F80}" name="郵便番号" dataDxfId="46">
      <calculatedColumnFormula>ASC(SUBSTITUTE(contractCustomerPostalNumber,"-",""))</calculatedColumnFormula>
    </tableColumn>
    <tableColumn id="7" xr3:uid="{11F1E5BD-45E2-4830-8CE3-3C1ACC3C872A}" name="ご契約者住所" dataDxfId="45">
      <calculatedColumnFormula>DBCS(SUBSTITUTE(SUBSTITUTE(TRIM(contractCustomerAddress)," ","　"),CHAR(10),"　"))</calculatedColumnFormula>
    </tableColumn>
    <tableColumn id="22" xr3:uid="{124E5ECA-1790-499E-82AA-E9F2201423A3}" name="ご契約者住所2" dataDxfId="44">
      <calculatedColumnFormula>DBCS(SUBSTITUTE(SUBSTITUTE(TRIM(contractCustomerAddress2)," ","　"),CHAR(10),"　"))</calculatedColumnFormula>
    </tableColumn>
    <tableColumn id="8" xr3:uid="{17E16EAE-CD80-488D-98EC-2F6C612DC47C}" name="ご契約者連絡先　電話番号" dataDxfId="43">
      <calculatedColumnFormula>ASC(SUBSTITUTE(billingStationPhoneNumber,"-",""))</calculatedColumnFormula>
    </tableColumn>
    <tableColumn id="9" xr3:uid="{113052A7-7A4C-4125-BD28-EA89607E178A}" name="ご契約者連絡先　部署名フリガナ" dataDxfId="42">
      <calculatedColumnFormula array="1">IF(SUMPRODUCT(--ISNUMBER(FIND(MID(Y2, ROW(INDIRECT("1:" &amp; LEN(Y2))),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～")))=LEN(Y2), Y2, 1/0)</calculatedColumnFormula>
    </tableColumn>
    <tableColumn id="10" xr3:uid="{68212616-6281-4223-9465-D7BA731DB06C}" name="ご契約者連絡先　部署名" dataDxfId="41">
      <calculatedColumnFormula>DBCS(SUBSTITUTE(SUBSTITUTE(TRIM(billingStationDeptName)," ","　"),CHAR(10),"　"))</calculatedColumnFormula>
    </tableColumn>
    <tableColumn id="11" xr3:uid="{AD209685-8B97-4DCA-A93C-C592D031CBE4}" name="ご契約者連絡先　担当者名フリガナ" dataDxfId="40">
      <calculatedColumnFormula array="1">IF(SUMPRODUCT(--ISNUMBER(FIND(MID(Y3, ROW(INDIRECT("1:" &amp; LEN(Y3))),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～")))=LEN(Y3), Y3, 1/0)</calculatedColumnFormula>
    </tableColumn>
    <tableColumn id="12" xr3:uid="{93D80FCB-8A74-40D2-8B4F-8FE6C1873FF1}" name="ご契約者連絡先　担当者名" dataDxfId="39">
      <calculatedColumnFormula>DBCS(SUBSTITUTE(SUBSTITUTE(TRIM(billingStationPerson)," ","　"),CHAR(10),"　"))</calculatedColumnFormula>
    </tableColumn>
    <tableColumn id="13" xr3:uid="{94EFC176-FAD3-40A6-87BA-4720AB7CFF64}" name="メールアドレス" dataDxfId="38">
      <calculatedColumnFormula>ASC(CLEAN(billingStationCustomerMailAddress))</calculatedColumnFormula>
    </tableColumn>
    <tableColumn id="14" xr3:uid="{2362EA89-130F-444F-8BFE-410690F28A93}" name="認証キー" dataDxfId="37">
      <calculatedColumnFormula>ASC(billingStationAuthKey)</calculatedColumnFormula>
    </tableColumn>
    <tableColumn id="20" xr3:uid="{46582209-6511-4E81-88C8-4738E83CD729}" name="ご利用データ形式（新規）" dataDxfId="36">
      <calculatedColumnFormula>IF(billingStationUseDataByNumber="","csv",billingStationUseDataByNumber)</calculatedColumnFormula>
    </tableColumn>
    <tableColumn id="24" xr3:uid="{D0E6561C-D970-437D-940B-E4D17E510D64}" name="ご利用データ形式（変更）" dataDxfId="35"/>
    <tableColumn id="15" xr3:uid="{34AA4EEC-CDC7-4452-A765-552DB3D847B2}" name="BSお客様番号" dataDxfId="34"/>
    <tableColumn id="6" xr3:uid="{3169ABA1-CC5C-47A4-8B04-242C86115E1C}" name="申込プラン" dataDxfId="33"/>
    <tableColumn id="16" xr3:uid="{D76E829F-0C51-4137-A3B7-0B14B01C1F85}" name="備考" dataDxfId="32">
      <calculatedColumnFormula>comment&amp;""</calculatedColumnFormula>
    </tableColumn>
    <tableColumn id="17" xr3:uid="{3ACE0277-A267-441B-B446-AD178F0DF60C}" name="販売担当者　部署名" dataDxfId="31">
      <calculatedColumnFormula>salesChannelDeptName&amp;""</calculatedColumnFormula>
    </tableColumn>
    <tableColumn id="18" xr3:uid="{478AB832-2A69-40E3-AA2C-537C9238EC8C}" name="販売担当者　担当者名" dataDxfId="30">
      <calculatedColumnFormula>salesChannelPersonName&amp;""</calculatedColumnFormula>
    </tableColumn>
    <tableColumn id="19" xr3:uid="{EC5410D6-B7F5-4204-A776-64C08D4E5798}" name="販売担当者　電話番号" dataDxfId="29">
      <calculatedColumnFormula>salesChannelPhoneNumber&amp;""</calculatedColumnFormula>
    </tableColumn>
    <tableColumn id="21" xr3:uid="{E60D13D1-A7BD-461B-9623-8723A3074BDC}" name="販売担当者　メールアドレス" dataDxfId="28">
      <calculatedColumnFormula>salesChannelMailAddress&amp;""</calculatedColumnFormula>
    </tableColumn>
    <tableColumn id="25" xr3:uid="{72CBD27B-C38F-4CC0-A90B-4621D13DBE00}" name="エラー数チェック" dataDxfId="27">
      <calculatedColumnFormula array="1">SUMPRODUCT(ISERROR(新規申込書[[#This Row],[ファイル名]:[販売担当者　メールアドレス]])*1)</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60FD45D-10C4-4BC9-8F90-E27136D23B3F}" name="番明" displayName="番明" ref="A13:L513" totalsRowShown="0">
  <autoFilter ref="A13:L513" xr:uid="{260FD45D-10C4-4BC9-8F90-E27136D23B3F}"/>
  <tableColumns count="12">
    <tableColumn id="1" xr3:uid="{9288E6EB-54CE-444B-88B4-3509D3025EF7}" name="項番"/>
    <tableColumn id="11" xr3:uid="{0A1227D4-1DC5-4D0D-9844-4060AA68B807}" name="申込区分"/>
    <tableColumn id="8" xr3:uid="{B40D4B62-D8FE-469D-A12B-9FD4FA6B0518}" name="請求種別" dataDxfId="26"/>
    <tableColumn id="3" xr3:uid="{444E8BF6-B964-4E09-B8DD-95BBA384578D}" name="ご請求番号" dataDxfId="25"/>
    <tableColumn id="7" xr3:uid="{5AF73574-09AD-45D3-826C-7EFDB4BCF8C5}" name="請求番号ハイフンなし" dataDxfId="24">
      <calculatedColumnFormula>UPPER(SUBSTITUTE(番明[[#This Row],[ご請求番号]],"-",""))</calculatedColumnFormula>
    </tableColumn>
    <tableColumn id="4" xr3:uid="{58A735FF-C1D8-4782-9E66-243AE28128A4}" name="ご契約番号" dataDxfId="23"/>
    <tableColumn id="12" xr3:uid="{BCEDFAEC-0430-404C-91D5-C1D45F22DB35}" name="会社コード有無"/>
    <tableColumn id="6" xr3:uid="{E309320B-AD6A-4968-AF01-9E395C394314}" name="対象会社コード" dataDxfId="22"/>
    <tableColumn id="13" xr3:uid="{99F81274-F0B1-4785-BEE0-1611C7F5F4A2}" name="一括フラグ（ACCEL）" dataDxfId="21"/>
    <tableColumn id="10" xr3:uid="{528DAFC1-2109-4339-8C70-70D60D6339A6}" name="分割有無" dataDxfId="20"/>
    <tableColumn id="9" xr3:uid="{A35CE725-0FAC-4919-BDDE-3E5F31388794}" name="分割番号（BELUGA）" dataDxfId="19"/>
    <tableColumn id="5" xr3:uid="{E98CB391-530C-4285-879A-CE5A489AB6DC}" name="取得要否" dataDxfId="1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84430EC-45B2-407D-AFBE-CC2386DA34E4}" name="申込書バージョン" displayName="申込書バージョン" ref="A3:B4" totalsRowShown="0" dataDxfId="17">
  <autoFilter ref="A3:B4" xr:uid="{984430EC-45B2-407D-AFBE-CC2386DA34E4}"/>
  <tableColumns count="2">
    <tableColumn id="1" xr3:uid="{6D903F44-D5D6-49B1-9BFB-37083D4DF11F}" name="バージョン" dataDxfId="16">
      <calculatedColumnFormula>formVersion</calculatedColumnFormula>
    </tableColumn>
    <tableColumn id="2" xr3:uid="{7E64F48C-019A-4FA3-AEE7-109AA101F7A1}" name="用途"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9712F2A-E49D-466C-9F14-FF5E10BBB767}" name="様式" displayName="様式" ref="D3:D4" totalsRowShown="0">
  <autoFilter ref="D3:D4" xr:uid="{F9712F2A-E49D-466C-9F14-FF5E10BBB767}"/>
  <tableColumns count="1">
    <tableColumn id="1" xr3:uid="{1E42E78F-0B34-4D68-AEC1-DA0394E30170}" name="名称"/>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upport.ntt.com/business/inquiry/input/pid2200001z8u"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zaimubu-ml@tekikakucorp.co.jp"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support.ntt.com/business/inquiry/input/pid2200001z8u"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 Id="rId5" Type="http://schemas.openxmlformats.org/officeDocument/2006/relationships/table" Target="../tables/table4.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AJ50"/>
  <sheetViews>
    <sheetView showGridLines="0" tabSelected="1" zoomScale="80" zoomScaleNormal="80" zoomScaleSheetLayoutView="90" workbookViewId="0">
      <selection activeCell="K10" sqref="K10:AE10"/>
    </sheetView>
  </sheetViews>
  <sheetFormatPr defaultColWidth="9" defaultRowHeight="13.5"/>
  <cols>
    <col min="1" max="4" width="6.125" style="23" customWidth="1"/>
    <col min="5" max="9" width="3.5" style="23" customWidth="1"/>
    <col min="10" max="10" width="5.25" style="23" customWidth="1"/>
    <col min="11" max="12" width="3.125" style="23" customWidth="1"/>
    <col min="13" max="18" width="3.375" style="23" customWidth="1"/>
    <col min="19" max="28" width="3.125" style="23" customWidth="1"/>
    <col min="29" max="36" width="6.125" style="23" customWidth="1"/>
    <col min="37" max="57" width="3.625" style="23" customWidth="1"/>
    <col min="58" max="16384" width="9" style="23"/>
  </cols>
  <sheetData>
    <row r="1" spans="1:36" ht="13.5" customHeight="1">
      <c r="A1" s="163"/>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row>
    <row r="2" spans="1:36" ht="13.5" customHeight="1">
      <c r="A2" s="163"/>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row>
    <row r="3" spans="1:36" ht="13.5" customHeight="1">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row>
    <row r="4" spans="1:36" ht="13.5" customHeight="1">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row>
    <row r="5" spans="1:36" ht="16.899999999999999"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161" t="s">
        <v>115</v>
      </c>
      <c r="AG5" s="162"/>
      <c r="AH5" s="25" t="s">
        <v>0</v>
      </c>
      <c r="AI5" s="26">
        <v>2.2999999999999998</v>
      </c>
    </row>
    <row r="6" spans="1:36" ht="49.9" customHeight="1">
      <c r="A6" s="175" t="s">
        <v>204</v>
      </c>
      <c r="B6" s="175"/>
      <c r="C6" s="175"/>
      <c r="D6" s="175"/>
      <c r="E6" s="175"/>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row>
    <row r="7" spans="1:36">
      <c r="A7" s="27"/>
    </row>
    <row r="8" spans="1:36">
      <c r="A8" s="27"/>
    </row>
    <row r="9" spans="1:36" ht="21" customHeight="1" thickBot="1">
      <c r="A9" s="28" t="s">
        <v>1</v>
      </c>
    </row>
    <row r="10" spans="1:36" ht="44.65" customHeight="1">
      <c r="A10" s="169" t="s">
        <v>165</v>
      </c>
      <c r="B10" s="170"/>
      <c r="C10" s="170"/>
      <c r="D10" s="170"/>
      <c r="E10" s="170"/>
      <c r="F10" s="170"/>
      <c r="G10" s="170"/>
      <c r="H10" s="170"/>
      <c r="I10" s="170"/>
      <c r="J10" s="171"/>
      <c r="K10" s="172"/>
      <c r="L10" s="173"/>
      <c r="M10" s="173"/>
      <c r="N10" s="173"/>
      <c r="O10" s="173"/>
      <c r="P10" s="173"/>
      <c r="Q10" s="173"/>
      <c r="R10" s="173"/>
      <c r="S10" s="173"/>
      <c r="T10" s="173"/>
      <c r="U10" s="173"/>
      <c r="V10" s="173"/>
      <c r="W10" s="173"/>
      <c r="X10" s="173"/>
      <c r="Y10" s="173"/>
      <c r="Z10" s="173"/>
      <c r="AA10" s="173"/>
      <c r="AB10" s="173"/>
      <c r="AC10" s="173"/>
      <c r="AD10" s="173"/>
      <c r="AE10" s="174"/>
      <c r="AF10" s="218" t="s">
        <v>2</v>
      </c>
      <c r="AG10" s="219"/>
      <c r="AH10" s="219"/>
      <c r="AI10" s="219"/>
      <c r="AJ10" s="220"/>
    </row>
    <row r="11" spans="1:36" ht="19.149999999999999" hidden="1" customHeight="1">
      <c r="A11" s="66"/>
      <c r="B11" s="67"/>
      <c r="C11" s="67"/>
      <c r="D11" s="67"/>
      <c r="E11" s="68"/>
      <c r="F11" s="68"/>
      <c r="G11" s="68"/>
      <c r="H11" s="68"/>
      <c r="I11" s="68"/>
      <c r="J11" s="69"/>
      <c r="K11" s="70"/>
      <c r="L11" s="71"/>
      <c r="M11" s="71"/>
      <c r="N11" s="71"/>
      <c r="O11" s="71"/>
      <c r="P11" s="71"/>
      <c r="Q11" s="71"/>
      <c r="R11" s="71"/>
      <c r="S11" s="71"/>
      <c r="T11" s="71"/>
      <c r="U11" s="71"/>
      <c r="V11" s="71"/>
      <c r="W11" s="71"/>
      <c r="X11" s="71"/>
      <c r="Y11" s="71"/>
      <c r="Z11" s="71"/>
      <c r="AA11" s="71"/>
      <c r="AB11" s="71"/>
      <c r="AC11" s="71"/>
      <c r="AD11" s="71"/>
      <c r="AE11" s="72"/>
      <c r="AF11" s="73"/>
      <c r="AG11" s="74"/>
      <c r="AH11" s="74"/>
      <c r="AI11" s="74"/>
      <c r="AJ11" s="75"/>
    </row>
    <row r="12" spans="1:36" ht="22.15" customHeight="1">
      <c r="A12" s="164" t="s">
        <v>118</v>
      </c>
      <c r="B12" s="165"/>
      <c r="C12" s="165"/>
      <c r="D12" s="166"/>
      <c r="E12" s="29" t="s">
        <v>185</v>
      </c>
      <c r="F12" s="30"/>
      <c r="G12" s="30"/>
      <c r="H12" s="30"/>
      <c r="I12" s="30"/>
      <c r="J12" s="31"/>
      <c r="K12" s="224"/>
      <c r="L12" s="225"/>
      <c r="M12" s="225"/>
      <c r="N12" s="225"/>
      <c r="O12" s="225"/>
      <c r="P12" s="225"/>
      <c r="Q12" s="225"/>
      <c r="R12" s="225"/>
      <c r="S12" s="225"/>
      <c r="T12" s="225"/>
      <c r="U12" s="225"/>
      <c r="V12" s="225"/>
      <c r="W12" s="225"/>
      <c r="X12" s="225"/>
      <c r="Y12" s="225"/>
      <c r="Z12" s="225"/>
      <c r="AA12" s="225"/>
      <c r="AB12" s="225"/>
      <c r="AC12" s="225"/>
      <c r="AD12" s="225"/>
      <c r="AE12" s="226"/>
      <c r="AF12" s="221" t="s">
        <v>4</v>
      </c>
      <c r="AG12" s="222"/>
      <c r="AH12" s="222"/>
      <c r="AI12" s="222"/>
      <c r="AJ12" s="223"/>
    </row>
    <row r="13" spans="1:36" ht="40.15" customHeight="1">
      <c r="A13" s="167"/>
      <c r="B13" s="168"/>
      <c r="C13" s="168"/>
      <c r="D13" s="168"/>
      <c r="E13" s="32"/>
      <c r="F13" s="32"/>
      <c r="G13" s="32"/>
      <c r="H13" s="32"/>
      <c r="I13" s="32"/>
      <c r="J13" s="33"/>
      <c r="K13" s="185"/>
      <c r="L13" s="150"/>
      <c r="M13" s="150"/>
      <c r="N13" s="150"/>
      <c r="O13" s="150"/>
      <c r="P13" s="150"/>
      <c r="Q13" s="150"/>
      <c r="R13" s="150"/>
      <c r="S13" s="150"/>
      <c r="T13" s="150"/>
      <c r="U13" s="150"/>
      <c r="V13" s="150"/>
      <c r="W13" s="150"/>
      <c r="X13" s="150"/>
      <c r="Y13" s="150"/>
      <c r="Z13" s="150"/>
      <c r="AA13" s="150"/>
      <c r="AB13" s="150"/>
      <c r="AC13" s="150"/>
      <c r="AD13" s="150"/>
      <c r="AE13" s="235"/>
      <c r="AF13" s="221" t="s">
        <v>5</v>
      </c>
      <c r="AG13" s="222"/>
      <c r="AH13" s="222"/>
      <c r="AI13" s="222"/>
      <c r="AJ13" s="223"/>
    </row>
    <row r="14" spans="1:36" ht="24.6" customHeight="1">
      <c r="A14" s="176" t="s">
        <v>138</v>
      </c>
      <c r="B14" s="177"/>
      <c r="C14" s="177"/>
      <c r="D14" s="177"/>
      <c r="E14" s="177"/>
      <c r="F14" s="177"/>
      <c r="G14" s="177"/>
      <c r="H14" s="177"/>
      <c r="I14" s="178"/>
      <c r="J14" s="76" t="s">
        <v>6</v>
      </c>
      <c r="K14" s="150"/>
      <c r="L14" s="150"/>
      <c r="M14" s="150"/>
      <c r="N14" s="150"/>
      <c r="O14" s="150"/>
      <c r="P14" s="150"/>
      <c r="Q14" s="150"/>
      <c r="R14" s="150"/>
      <c r="S14" s="150"/>
      <c r="T14" s="150"/>
      <c r="U14" s="150"/>
      <c r="V14" s="150"/>
      <c r="W14" s="150"/>
      <c r="X14" s="150"/>
      <c r="Y14" s="150"/>
      <c r="Z14" s="150"/>
      <c r="AA14" s="150"/>
      <c r="AB14" s="150"/>
      <c r="AC14" s="150"/>
      <c r="AD14" s="150"/>
      <c r="AE14" s="235"/>
      <c r="AF14" s="221" t="s">
        <v>7</v>
      </c>
      <c r="AG14" s="222"/>
      <c r="AH14" s="222"/>
      <c r="AI14" s="222"/>
      <c r="AJ14" s="223"/>
    </row>
    <row r="15" spans="1:36" ht="22.15" hidden="1" customHeight="1">
      <c r="B15" s="34"/>
      <c r="C15" s="34"/>
      <c r="D15" s="35"/>
      <c r="E15" s="188"/>
      <c r="F15" s="189"/>
      <c r="G15" s="189"/>
      <c r="H15" s="189"/>
      <c r="I15" s="189"/>
      <c r="J15" s="190"/>
      <c r="K15" s="227"/>
      <c r="L15" s="228"/>
      <c r="M15" s="228"/>
      <c r="N15" s="228"/>
      <c r="O15" s="228"/>
      <c r="P15" s="228"/>
      <c r="Q15" s="228"/>
      <c r="R15" s="228"/>
      <c r="S15" s="228"/>
      <c r="T15" s="228"/>
      <c r="U15" s="228"/>
      <c r="V15" s="228"/>
      <c r="W15" s="228"/>
      <c r="X15" s="228"/>
      <c r="Y15" s="228"/>
      <c r="Z15" s="228"/>
      <c r="AA15" s="228"/>
      <c r="AB15" s="228"/>
      <c r="AC15" s="228"/>
      <c r="AD15" s="228"/>
      <c r="AE15" s="229"/>
      <c r="AF15" s="221"/>
      <c r="AG15" s="222"/>
      <c r="AH15" s="222"/>
      <c r="AI15" s="222"/>
      <c r="AJ15" s="223"/>
    </row>
    <row r="16" spans="1:36" ht="57.6" customHeight="1">
      <c r="A16" s="176" t="s">
        <v>119</v>
      </c>
      <c r="B16" s="177"/>
      <c r="C16" s="177"/>
      <c r="D16" s="178"/>
      <c r="E16" s="182" t="s">
        <v>186</v>
      </c>
      <c r="F16" s="183"/>
      <c r="G16" s="183"/>
      <c r="H16" s="183"/>
      <c r="I16" s="183"/>
      <c r="J16" s="184"/>
      <c r="K16" s="185"/>
      <c r="L16" s="186"/>
      <c r="M16" s="186"/>
      <c r="N16" s="186"/>
      <c r="O16" s="186"/>
      <c r="P16" s="186"/>
      <c r="Q16" s="186"/>
      <c r="R16" s="186"/>
      <c r="S16" s="186"/>
      <c r="T16" s="186"/>
      <c r="U16" s="186"/>
      <c r="V16" s="186"/>
      <c r="W16" s="186"/>
      <c r="X16" s="186"/>
      <c r="Y16" s="186"/>
      <c r="Z16" s="186"/>
      <c r="AA16" s="186"/>
      <c r="AB16" s="186"/>
      <c r="AC16" s="186"/>
      <c r="AD16" s="186"/>
      <c r="AE16" s="187"/>
      <c r="AF16" s="212" t="s">
        <v>84</v>
      </c>
      <c r="AG16" s="213"/>
      <c r="AH16" s="213"/>
      <c r="AI16" s="213"/>
      <c r="AJ16" s="214"/>
    </row>
    <row r="17" spans="1:36" ht="57.6" customHeight="1">
      <c r="A17" s="179"/>
      <c r="B17" s="180"/>
      <c r="C17" s="180"/>
      <c r="D17" s="181"/>
      <c r="E17" s="182" t="s">
        <v>120</v>
      </c>
      <c r="F17" s="183"/>
      <c r="G17" s="183"/>
      <c r="H17" s="183"/>
      <c r="I17" s="183"/>
      <c r="J17" s="184"/>
      <c r="K17" s="185"/>
      <c r="L17" s="186"/>
      <c r="M17" s="186"/>
      <c r="N17" s="186"/>
      <c r="O17" s="186"/>
      <c r="P17" s="186"/>
      <c r="Q17" s="186"/>
      <c r="R17" s="186"/>
      <c r="S17" s="186"/>
      <c r="T17" s="186"/>
      <c r="U17" s="186"/>
      <c r="V17" s="186"/>
      <c r="W17" s="186"/>
      <c r="X17" s="186"/>
      <c r="Y17" s="186"/>
      <c r="Z17" s="186"/>
      <c r="AA17" s="186"/>
      <c r="AB17" s="186"/>
      <c r="AC17" s="186"/>
      <c r="AD17" s="186"/>
      <c r="AE17" s="187"/>
      <c r="AF17" s="212" t="s">
        <v>85</v>
      </c>
      <c r="AG17" s="213"/>
      <c r="AH17" s="213"/>
      <c r="AI17" s="213"/>
      <c r="AJ17" s="214"/>
    </row>
    <row r="18" spans="1:36" ht="27.6" customHeight="1">
      <c r="A18" s="119" t="s">
        <v>8</v>
      </c>
      <c r="B18" s="120"/>
      <c r="C18" s="120"/>
      <c r="D18" s="120"/>
      <c r="E18" s="146" t="s">
        <v>187</v>
      </c>
      <c r="F18" s="147"/>
      <c r="G18" s="147"/>
      <c r="H18" s="147"/>
      <c r="I18" s="147"/>
      <c r="J18" s="148"/>
      <c r="K18" s="149"/>
      <c r="L18" s="150"/>
      <c r="M18" s="150"/>
      <c r="N18" s="150"/>
      <c r="O18" s="150"/>
      <c r="P18" s="150"/>
      <c r="Q18" s="150"/>
      <c r="R18" s="150"/>
      <c r="S18" s="150"/>
      <c r="T18" s="150"/>
      <c r="U18" s="150"/>
      <c r="V18" s="150"/>
      <c r="W18" s="150"/>
      <c r="X18" s="150"/>
      <c r="Y18" s="150"/>
      <c r="Z18" s="150"/>
      <c r="AA18" s="150"/>
      <c r="AB18" s="150"/>
      <c r="AC18" s="150"/>
      <c r="AD18" s="150"/>
      <c r="AE18" s="150"/>
      <c r="AF18" s="150"/>
      <c r="AG18" s="150"/>
      <c r="AH18" s="150"/>
      <c r="AI18" s="150"/>
      <c r="AJ18" s="151"/>
    </row>
    <row r="19" spans="1:36" ht="25.15" customHeight="1">
      <c r="A19" s="121"/>
      <c r="B19" s="122"/>
      <c r="C19" s="122"/>
      <c r="D19" s="122"/>
      <c r="E19" s="29" t="s">
        <v>3</v>
      </c>
      <c r="F19" s="36"/>
      <c r="G19" s="37"/>
      <c r="H19" s="36"/>
      <c r="I19" s="36"/>
      <c r="J19" s="38"/>
      <c r="K19" s="152"/>
      <c r="L19" s="153"/>
      <c r="M19" s="153"/>
      <c r="N19" s="153"/>
      <c r="O19" s="153"/>
      <c r="P19" s="153"/>
      <c r="Q19" s="153"/>
      <c r="R19" s="153"/>
      <c r="S19" s="153"/>
      <c r="T19" s="153"/>
      <c r="U19" s="153"/>
      <c r="V19" s="153"/>
      <c r="W19" s="153"/>
      <c r="X19" s="153"/>
      <c r="Y19" s="153"/>
      <c r="Z19" s="153"/>
      <c r="AA19" s="153"/>
      <c r="AB19" s="153"/>
      <c r="AC19" s="153"/>
      <c r="AD19" s="153"/>
      <c r="AE19" s="153"/>
      <c r="AF19" s="153"/>
      <c r="AG19" s="153"/>
      <c r="AH19" s="153"/>
      <c r="AI19" s="153"/>
      <c r="AJ19" s="154"/>
    </row>
    <row r="20" spans="1:36" ht="32.65" customHeight="1">
      <c r="A20" s="121"/>
      <c r="B20" s="122"/>
      <c r="C20" s="122"/>
      <c r="D20" s="122"/>
      <c r="E20" s="39" t="s">
        <v>9</v>
      </c>
      <c r="F20" s="40"/>
      <c r="G20" s="41"/>
      <c r="H20" s="41"/>
      <c r="I20" s="41"/>
      <c r="J20" s="42"/>
      <c r="K20" s="155"/>
      <c r="L20" s="156"/>
      <c r="M20" s="156"/>
      <c r="N20" s="156"/>
      <c r="O20" s="156"/>
      <c r="P20" s="156"/>
      <c r="Q20" s="156"/>
      <c r="R20" s="156"/>
      <c r="S20" s="156"/>
      <c r="T20" s="156"/>
      <c r="U20" s="156"/>
      <c r="V20" s="156"/>
      <c r="W20" s="156"/>
      <c r="X20" s="156"/>
      <c r="Y20" s="156"/>
      <c r="Z20" s="156"/>
      <c r="AA20" s="156"/>
      <c r="AB20" s="156"/>
      <c r="AC20" s="156"/>
      <c r="AD20" s="156"/>
      <c r="AE20" s="156"/>
      <c r="AF20" s="156"/>
      <c r="AG20" s="156"/>
      <c r="AH20" s="156"/>
      <c r="AI20" s="156"/>
      <c r="AJ20" s="157"/>
    </row>
    <row r="21" spans="1:36" ht="25.15" customHeight="1">
      <c r="A21" s="121"/>
      <c r="B21" s="122"/>
      <c r="C21" s="122"/>
      <c r="D21" s="122"/>
      <c r="E21" s="29" t="s">
        <v>185</v>
      </c>
      <c r="F21" s="36"/>
      <c r="G21" s="36"/>
      <c r="H21" s="36"/>
      <c r="I21" s="36"/>
      <c r="J21" s="38"/>
      <c r="K21" s="158"/>
      <c r="L21" s="159"/>
      <c r="M21" s="159"/>
      <c r="N21" s="159"/>
      <c r="O21" s="159"/>
      <c r="P21" s="159"/>
      <c r="Q21" s="159"/>
      <c r="R21" s="159"/>
      <c r="S21" s="159"/>
      <c r="T21" s="159"/>
      <c r="U21" s="159"/>
      <c r="V21" s="159"/>
      <c r="W21" s="159"/>
      <c r="X21" s="159"/>
      <c r="Y21" s="159"/>
      <c r="Z21" s="159"/>
      <c r="AA21" s="159"/>
      <c r="AB21" s="159"/>
      <c r="AC21" s="159"/>
      <c r="AD21" s="159"/>
      <c r="AE21" s="159"/>
      <c r="AF21" s="159"/>
      <c r="AG21" s="159"/>
      <c r="AH21" s="159"/>
      <c r="AI21" s="159"/>
      <c r="AJ21" s="160"/>
    </row>
    <row r="22" spans="1:36" ht="40.9" customHeight="1" thickBot="1">
      <c r="A22" s="123"/>
      <c r="B22" s="124"/>
      <c r="C22" s="124"/>
      <c r="D22" s="124"/>
      <c r="E22" s="43" t="s">
        <v>188</v>
      </c>
      <c r="F22" s="44"/>
      <c r="G22" s="44"/>
      <c r="H22" s="44"/>
      <c r="I22" s="44"/>
      <c r="J22" s="45"/>
      <c r="K22" s="230"/>
      <c r="L22" s="231"/>
      <c r="M22" s="231"/>
      <c r="N22" s="231"/>
      <c r="O22" s="231"/>
      <c r="P22" s="231"/>
      <c r="Q22" s="231"/>
      <c r="R22" s="231"/>
      <c r="S22" s="231"/>
      <c r="T22" s="231"/>
      <c r="U22" s="231"/>
      <c r="V22" s="231"/>
      <c r="W22" s="231"/>
      <c r="X22" s="231"/>
      <c r="Y22" s="231"/>
      <c r="Z22" s="231"/>
      <c r="AA22" s="231"/>
      <c r="AB22" s="231"/>
      <c r="AC22" s="231"/>
      <c r="AD22" s="231"/>
      <c r="AE22" s="231"/>
      <c r="AF22" s="231"/>
      <c r="AG22" s="231"/>
      <c r="AH22" s="231"/>
      <c r="AI22" s="231"/>
      <c r="AJ22" s="232"/>
    </row>
    <row r="23" spans="1:36">
      <c r="A23" s="46"/>
      <c r="B23" s="46"/>
      <c r="C23" s="46"/>
      <c r="D23" s="46"/>
      <c r="E23" s="46"/>
      <c r="F23" s="46"/>
      <c r="G23" s="46"/>
      <c r="H23" s="46"/>
      <c r="I23" s="46"/>
      <c r="J23" s="46"/>
      <c r="K23" s="233"/>
      <c r="L23" s="233"/>
      <c r="M23" s="233"/>
      <c r="N23" s="233"/>
      <c r="O23" s="233"/>
      <c r="P23" s="233"/>
      <c r="Q23" s="233"/>
      <c r="R23" s="233"/>
      <c r="S23" s="233"/>
      <c r="T23" s="233"/>
      <c r="U23" s="233"/>
      <c r="V23" s="233"/>
      <c r="W23" s="233"/>
      <c r="X23" s="233"/>
      <c r="Y23" s="233"/>
      <c r="Z23" s="233"/>
      <c r="AA23" s="233"/>
      <c r="AB23" s="233"/>
      <c r="AC23" s="233"/>
      <c r="AD23" s="233"/>
      <c r="AE23" s="233"/>
      <c r="AF23" s="233"/>
      <c r="AG23" s="233"/>
      <c r="AH23" s="233"/>
      <c r="AI23" s="233"/>
      <c r="AJ23" s="233"/>
    </row>
    <row r="24" spans="1:36" ht="21" customHeight="1" thickBot="1">
      <c r="A24" s="28" t="s">
        <v>10</v>
      </c>
      <c r="K24" s="234"/>
      <c r="L24" s="234"/>
      <c r="M24" s="234"/>
      <c r="N24" s="234"/>
      <c r="O24" s="234"/>
      <c r="P24" s="234"/>
      <c r="Q24" s="234"/>
      <c r="R24" s="234"/>
      <c r="S24" s="234"/>
      <c r="T24" s="234"/>
      <c r="U24" s="234"/>
      <c r="V24" s="234"/>
      <c r="W24" s="234"/>
      <c r="X24" s="234"/>
      <c r="Y24" s="234"/>
      <c r="Z24" s="234"/>
      <c r="AA24" s="234"/>
      <c r="AB24" s="234"/>
      <c r="AC24" s="234"/>
      <c r="AD24" s="234"/>
      <c r="AE24" s="234"/>
      <c r="AF24" s="234"/>
      <c r="AG24" s="234"/>
      <c r="AH24" s="234"/>
      <c r="AI24" s="234"/>
      <c r="AJ24" s="234"/>
    </row>
    <row r="25" spans="1:36" ht="54.6" customHeight="1">
      <c r="A25" s="128" t="s">
        <v>139</v>
      </c>
      <c r="B25" s="129"/>
      <c r="C25" s="129"/>
      <c r="D25" s="129"/>
      <c r="E25" s="129"/>
      <c r="F25" s="129"/>
      <c r="G25" s="129"/>
      <c r="H25" s="129"/>
      <c r="I25" s="129"/>
      <c r="J25" s="130"/>
      <c r="K25" s="137"/>
      <c r="L25" s="138"/>
      <c r="M25" s="138"/>
      <c r="N25" s="138"/>
      <c r="O25" s="138"/>
      <c r="P25" s="138"/>
      <c r="Q25" s="138"/>
      <c r="R25" s="138"/>
      <c r="S25" s="138"/>
      <c r="T25" s="138"/>
      <c r="U25" s="138"/>
      <c r="V25" s="138"/>
      <c r="W25" s="138"/>
      <c r="X25" s="138"/>
      <c r="Y25" s="138"/>
      <c r="Z25" s="138"/>
      <c r="AA25" s="138"/>
      <c r="AB25" s="139"/>
      <c r="AC25" s="215" t="s">
        <v>116</v>
      </c>
      <c r="AD25" s="216"/>
      <c r="AE25" s="216"/>
      <c r="AF25" s="216"/>
      <c r="AG25" s="216"/>
      <c r="AH25" s="216"/>
      <c r="AI25" s="216"/>
      <c r="AJ25" s="217"/>
    </row>
    <row r="26" spans="1:36" ht="58.9" customHeight="1">
      <c r="A26" s="131" t="s">
        <v>11</v>
      </c>
      <c r="B26" s="132"/>
      <c r="C26" s="132"/>
      <c r="D26" s="132"/>
      <c r="E26" s="132"/>
      <c r="F26" s="132"/>
      <c r="G26" s="132"/>
      <c r="H26" s="132"/>
      <c r="I26" s="132"/>
      <c r="J26" s="133"/>
      <c r="K26" s="140"/>
      <c r="L26" s="141"/>
      <c r="M26" s="141"/>
      <c r="N26" s="141"/>
      <c r="O26" s="141"/>
      <c r="P26" s="141"/>
      <c r="Q26" s="141"/>
      <c r="R26" s="141"/>
      <c r="S26" s="141"/>
      <c r="T26" s="141"/>
      <c r="U26" s="141"/>
      <c r="V26" s="141"/>
      <c r="W26" s="141"/>
      <c r="X26" s="141"/>
      <c r="Y26" s="141"/>
      <c r="Z26" s="141"/>
      <c r="AA26" s="141"/>
      <c r="AB26" s="142"/>
      <c r="AC26" s="212" t="s">
        <v>12</v>
      </c>
      <c r="AD26" s="213"/>
      <c r="AE26" s="213"/>
      <c r="AF26" s="213"/>
      <c r="AG26" s="213"/>
      <c r="AH26" s="213"/>
      <c r="AI26" s="213"/>
      <c r="AJ26" s="214"/>
    </row>
    <row r="27" spans="1:36" ht="54.6" customHeight="1" thickBot="1">
      <c r="A27" s="134" t="s">
        <v>13</v>
      </c>
      <c r="B27" s="135"/>
      <c r="C27" s="135"/>
      <c r="D27" s="135"/>
      <c r="E27" s="135"/>
      <c r="F27" s="135"/>
      <c r="G27" s="135"/>
      <c r="H27" s="135"/>
      <c r="I27" s="135"/>
      <c r="J27" s="136"/>
      <c r="K27" s="143"/>
      <c r="L27" s="144"/>
      <c r="M27" s="144"/>
      <c r="N27" s="144"/>
      <c r="O27" s="144"/>
      <c r="P27" s="144"/>
      <c r="Q27" s="144"/>
      <c r="R27" s="144"/>
      <c r="S27" s="144"/>
      <c r="T27" s="144"/>
      <c r="U27" s="144"/>
      <c r="V27" s="144"/>
      <c r="W27" s="144"/>
      <c r="X27" s="144"/>
      <c r="Y27" s="144"/>
      <c r="Z27" s="144"/>
      <c r="AA27" s="144"/>
      <c r="AB27" s="145"/>
      <c r="AC27" s="125" t="s">
        <v>203</v>
      </c>
      <c r="AD27" s="126"/>
      <c r="AE27" s="126"/>
      <c r="AF27" s="126"/>
      <c r="AG27" s="126"/>
      <c r="AH27" s="126"/>
      <c r="AI27" s="126"/>
      <c r="AJ27" s="127"/>
    </row>
    <row r="28" spans="1:36">
      <c r="A28" s="47"/>
      <c r="B28" s="47"/>
      <c r="C28" s="47"/>
      <c r="D28" s="47"/>
      <c r="E28" s="48"/>
      <c r="F28" s="48"/>
      <c r="G28" s="48"/>
      <c r="H28" s="48"/>
      <c r="I28" s="48"/>
      <c r="J28" s="48"/>
      <c r="K28" s="48"/>
      <c r="L28" s="48"/>
      <c r="M28" s="48"/>
      <c r="N28" s="48"/>
      <c r="O28" s="48"/>
      <c r="P28" s="48"/>
      <c r="Q28" s="48"/>
      <c r="R28" s="48"/>
      <c r="S28" s="48"/>
      <c r="T28" s="48"/>
      <c r="U28" s="48"/>
      <c r="V28" s="48"/>
      <c r="W28" s="48"/>
      <c r="X28" s="48"/>
      <c r="Y28" s="48"/>
      <c r="Z28" s="48"/>
      <c r="AA28" s="48"/>
      <c r="AB28" s="48"/>
      <c r="AC28" s="49"/>
      <c r="AD28" s="49"/>
      <c r="AE28" s="49"/>
      <c r="AF28" s="49"/>
      <c r="AG28" s="49"/>
      <c r="AH28" s="49"/>
      <c r="AI28" s="49"/>
      <c r="AJ28" s="49"/>
    </row>
    <row r="29" spans="1:36" ht="15" customHeight="1"/>
    <row r="30" spans="1:36" ht="25.9" customHeight="1"/>
    <row r="31" spans="1:36" ht="28.9" customHeight="1">
      <c r="G31" s="50"/>
    </row>
    <row r="32" spans="1:36" ht="28.9" customHeight="1">
      <c r="G32" s="50"/>
    </row>
    <row r="33" spans="1:28" ht="28.9" customHeight="1">
      <c r="G33" s="50"/>
    </row>
    <row r="34" spans="1:28">
      <c r="A34" s="50"/>
    </row>
    <row r="35" spans="1:28">
      <c r="A35" s="50"/>
    </row>
    <row r="36" spans="1:28">
      <c r="A36" s="50"/>
    </row>
    <row r="38" spans="1:28">
      <c r="A38" s="23" t="s">
        <v>15</v>
      </c>
    </row>
    <row r="39" spans="1:28" ht="13.15" customHeight="1">
      <c r="A39" s="203" t="s">
        <v>16</v>
      </c>
      <c r="B39" s="203"/>
      <c r="C39" s="51"/>
      <c r="D39" s="52"/>
      <c r="E39" s="191" t="s">
        <v>17</v>
      </c>
      <c r="F39" s="192"/>
      <c r="G39" s="192"/>
      <c r="H39" s="192"/>
      <c r="I39" s="192"/>
      <c r="J39" s="192"/>
      <c r="K39" s="192"/>
      <c r="L39" s="193"/>
      <c r="M39" s="197"/>
      <c r="N39" s="198"/>
      <c r="O39" s="198"/>
      <c r="P39" s="198"/>
      <c r="Q39" s="198"/>
      <c r="R39" s="198"/>
      <c r="S39" s="198"/>
      <c r="T39" s="198"/>
      <c r="U39" s="198"/>
      <c r="V39" s="198"/>
      <c r="W39" s="198"/>
      <c r="X39" s="198"/>
      <c r="Y39" s="198"/>
      <c r="Z39" s="198"/>
      <c r="AA39" s="198"/>
      <c r="AB39" s="199"/>
    </row>
    <row r="40" spans="1:28" ht="13.15" customHeight="1">
      <c r="A40" s="204"/>
      <c r="B40" s="204"/>
      <c r="C40" s="28"/>
      <c r="D40" s="53"/>
      <c r="E40" s="194"/>
      <c r="F40" s="195"/>
      <c r="G40" s="195"/>
      <c r="H40" s="195"/>
      <c r="I40" s="195"/>
      <c r="J40" s="195"/>
      <c r="K40" s="195"/>
      <c r="L40" s="196"/>
      <c r="M40" s="200"/>
      <c r="N40" s="201"/>
      <c r="O40" s="201"/>
      <c r="P40" s="201"/>
      <c r="Q40" s="201"/>
      <c r="R40" s="201"/>
      <c r="S40" s="201"/>
      <c r="T40" s="201"/>
      <c r="U40" s="201"/>
      <c r="V40" s="201"/>
      <c r="W40" s="201"/>
      <c r="X40" s="201"/>
      <c r="Y40" s="201"/>
      <c r="Z40" s="201"/>
      <c r="AA40" s="201"/>
      <c r="AB40" s="202"/>
    </row>
    <row r="41" spans="1:28" ht="13.5" customHeight="1">
      <c r="A41" s="204"/>
      <c r="B41" s="204"/>
      <c r="C41" s="28"/>
      <c r="D41" s="53"/>
      <c r="E41" s="191" t="s">
        <v>18</v>
      </c>
      <c r="F41" s="192"/>
      <c r="G41" s="192"/>
      <c r="H41" s="192"/>
      <c r="I41" s="192"/>
      <c r="J41" s="192"/>
      <c r="K41" s="192"/>
      <c r="L41" s="193"/>
      <c r="M41" s="197"/>
      <c r="N41" s="198"/>
      <c r="O41" s="198"/>
      <c r="P41" s="198"/>
      <c r="Q41" s="198"/>
      <c r="R41" s="198"/>
      <c r="S41" s="198"/>
      <c r="T41" s="198"/>
      <c r="U41" s="198"/>
      <c r="V41" s="198"/>
      <c r="W41" s="198"/>
      <c r="X41" s="198"/>
      <c r="Y41" s="198"/>
      <c r="Z41" s="198"/>
      <c r="AA41" s="198"/>
      <c r="AB41" s="199"/>
    </row>
    <row r="42" spans="1:28" ht="13.15" customHeight="1">
      <c r="A42" s="204"/>
      <c r="B42" s="204"/>
      <c r="C42" s="28"/>
      <c r="D42" s="53"/>
      <c r="E42" s="194"/>
      <c r="F42" s="195"/>
      <c r="G42" s="195"/>
      <c r="H42" s="195"/>
      <c r="I42" s="195"/>
      <c r="J42" s="195"/>
      <c r="K42" s="195"/>
      <c r="L42" s="196"/>
      <c r="M42" s="200"/>
      <c r="N42" s="201"/>
      <c r="O42" s="201"/>
      <c r="P42" s="201"/>
      <c r="Q42" s="201"/>
      <c r="R42" s="201"/>
      <c r="S42" s="201"/>
      <c r="T42" s="201"/>
      <c r="U42" s="201"/>
      <c r="V42" s="201"/>
      <c r="W42" s="201"/>
      <c r="X42" s="201"/>
      <c r="Y42" s="201"/>
      <c r="Z42" s="201"/>
      <c r="AA42" s="201"/>
      <c r="AB42" s="202"/>
    </row>
    <row r="43" spans="1:28" ht="13.15" customHeight="1">
      <c r="A43" s="204"/>
      <c r="B43" s="204"/>
      <c r="C43" s="206" t="s">
        <v>19</v>
      </c>
      <c r="D43" s="207"/>
      <c r="E43" s="191" t="s">
        <v>20</v>
      </c>
      <c r="F43" s="192"/>
      <c r="G43" s="192"/>
      <c r="H43" s="192"/>
      <c r="I43" s="192"/>
      <c r="J43" s="192"/>
      <c r="K43" s="192"/>
      <c r="L43" s="193"/>
      <c r="M43" s="197"/>
      <c r="N43" s="198"/>
      <c r="O43" s="198"/>
      <c r="P43" s="198"/>
      <c r="Q43" s="198"/>
      <c r="R43" s="198"/>
      <c r="S43" s="198"/>
      <c r="T43" s="198"/>
      <c r="U43" s="198"/>
      <c r="V43" s="198"/>
      <c r="W43" s="198"/>
      <c r="X43" s="198"/>
      <c r="Y43" s="198"/>
      <c r="Z43" s="198"/>
      <c r="AA43" s="198"/>
      <c r="AB43" s="199"/>
    </row>
    <row r="44" spans="1:28" ht="13.15" customHeight="1">
      <c r="A44" s="204"/>
      <c r="B44" s="204"/>
      <c r="C44" s="208"/>
      <c r="D44" s="209"/>
      <c r="E44" s="194"/>
      <c r="F44" s="195"/>
      <c r="G44" s="195"/>
      <c r="H44" s="195"/>
      <c r="I44" s="195"/>
      <c r="J44" s="195"/>
      <c r="K44" s="195"/>
      <c r="L44" s="196"/>
      <c r="M44" s="200"/>
      <c r="N44" s="201"/>
      <c r="O44" s="201"/>
      <c r="P44" s="201"/>
      <c r="Q44" s="201"/>
      <c r="R44" s="201"/>
      <c r="S44" s="201"/>
      <c r="T44" s="201"/>
      <c r="U44" s="201"/>
      <c r="V44" s="201"/>
      <c r="W44" s="201"/>
      <c r="X44" s="201"/>
      <c r="Y44" s="201"/>
      <c r="Z44" s="201"/>
      <c r="AA44" s="201"/>
      <c r="AB44" s="202"/>
    </row>
    <row r="45" spans="1:28" ht="13.15" customHeight="1">
      <c r="A45" s="204"/>
      <c r="B45" s="204"/>
      <c r="C45" s="208"/>
      <c r="D45" s="209"/>
      <c r="E45" s="191" t="s">
        <v>21</v>
      </c>
      <c r="F45" s="192"/>
      <c r="G45" s="192"/>
      <c r="H45" s="192"/>
      <c r="I45" s="192"/>
      <c r="J45" s="192"/>
      <c r="K45" s="192"/>
      <c r="L45" s="193"/>
      <c r="M45" s="197"/>
      <c r="N45" s="198"/>
      <c r="O45" s="198"/>
      <c r="P45" s="198"/>
      <c r="Q45" s="198"/>
      <c r="R45" s="198"/>
      <c r="S45" s="198"/>
      <c r="T45" s="198"/>
      <c r="U45" s="198"/>
      <c r="V45" s="198"/>
      <c r="W45" s="198"/>
      <c r="X45" s="198"/>
      <c r="Y45" s="198"/>
      <c r="Z45" s="198"/>
      <c r="AA45" s="198"/>
      <c r="AB45" s="199"/>
    </row>
    <row r="46" spans="1:28" ht="13.15" customHeight="1">
      <c r="A46" s="204"/>
      <c r="B46" s="204"/>
      <c r="C46" s="208"/>
      <c r="D46" s="209"/>
      <c r="E46" s="194"/>
      <c r="F46" s="195"/>
      <c r="G46" s="195"/>
      <c r="H46" s="195"/>
      <c r="I46" s="195"/>
      <c r="J46" s="195"/>
      <c r="K46" s="195"/>
      <c r="L46" s="196"/>
      <c r="M46" s="200"/>
      <c r="N46" s="201"/>
      <c r="O46" s="201"/>
      <c r="P46" s="201"/>
      <c r="Q46" s="201"/>
      <c r="R46" s="201"/>
      <c r="S46" s="201"/>
      <c r="T46" s="201"/>
      <c r="U46" s="201"/>
      <c r="V46" s="201"/>
      <c r="W46" s="201"/>
      <c r="X46" s="201"/>
      <c r="Y46" s="201"/>
      <c r="Z46" s="201"/>
      <c r="AA46" s="201"/>
      <c r="AB46" s="202"/>
    </row>
    <row r="47" spans="1:28" ht="13.15" customHeight="1">
      <c r="A47" s="204"/>
      <c r="B47" s="204"/>
      <c r="C47" s="208"/>
      <c r="D47" s="209"/>
      <c r="E47" s="191" t="s">
        <v>22</v>
      </c>
      <c r="F47" s="192"/>
      <c r="G47" s="192"/>
      <c r="H47" s="192"/>
      <c r="I47" s="192"/>
      <c r="J47" s="192"/>
      <c r="K47" s="192"/>
      <c r="L47" s="193"/>
      <c r="M47" s="197"/>
      <c r="N47" s="198"/>
      <c r="O47" s="198"/>
      <c r="P47" s="198"/>
      <c r="Q47" s="198"/>
      <c r="R47" s="198"/>
      <c r="S47" s="198"/>
      <c r="T47" s="198"/>
      <c r="U47" s="198"/>
      <c r="V47" s="198"/>
      <c r="W47" s="198"/>
      <c r="X47" s="198"/>
      <c r="Y47" s="198"/>
      <c r="Z47" s="198"/>
      <c r="AA47" s="198"/>
      <c r="AB47" s="199"/>
    </row>
    <row r="48" spans="1:28" ht="13.15" customHeight="1">
      <c r="A48" s="204"/>
      <c r="B48" s="204"/>
      <c r="C48" s="208"/>
      <c r="D48" s="209"/>
      <c r="E48" s="194"/>
      <c r="F48" s="195"/>
      <c r="G48" s="195"/>
      <c r="H48" s="195"/>
      <c r="I48" s="195"/>
      <c r="J48" s="195"/>
      <c r="K48" s="195"/>
      <c r="L48" s="196"/>
      <c r="M48" s="200"/>
      <c r="N48" s="201"/>
      <c r="O48" s="201"/>
      <c r="P48" s="201"/>
      <c r="Q48" s="201"/>
      <c r="R48" s="201"/>
      <c r="S48" s="201"/>
      <c r="T48" s="201"/>
      <c r="U48" s="201"/>
      <c r="V48" s="201"/>
      <c r="W48" s="201"/>
      <c r="X48" s="201"/>
      <c r="Y48" s="201"/>
      <c r="Z48" s="201"/>
      <c r="AA48" s="201"/>
      <c r="AB48" s="202"/>
    </row>
    <row r="49" spans="1:28" ht="13.15" customHeight="1">
      <c r="A49" s="204"/>
      <c r="B49" s="204"/>
      <c r="C49" s="208"/>
      <c r="D49" s="209"/>
      <c r="E49" s="191" t="s">
        <v>23</v>
      </c>
      <c r="F49" s="192"/>
      <c r="G49" s="192"/>
      <c r="H49" s="192"/>
      <c r="I49" s="192"/>
      <c r="J49" s="192"/>
      <c r="K49" s="192"/>
      <c r="L49" s="193"/>
      <c r="M49" s="197"/>
      <c r="N49" s="198"/>
      <c r="O49" s="198"/>
      <c r="P49" s="198"/>
      <c r="Q49" s="198"/>
      <c r="R49" s="198"/>
      <c r="S49" s="198"/>
      <c r="T49" s="198"/>
      <c r="U49" s="198"/>
      <c r="V49" s="198"/>
      <c r="W49" s="198"/>
      <c r="X49" s="198"/>
      <c r="Y49" s="198"/>
      <c r="Z49" s="198"/>
      <c r="AA49" s="198"/>
      <c r="AB49" s="199"/>
    </row>
    <row r="50" spans="1:28" ht="13.15" customHeight="1">
      <c r="A50" s="205"/>
      <c r="B50" s="205"/>
      <c r="C50" s="210"/>
      <c r="D50" s="211"/>
      <c r="E50" s="194"/>
      <c r="F50" s="195"/>
      <c r="G50" s="195"/>
      <c r="H50" s="195"/>
      <c r="I50" s="195"/>
      <c r="J50" s="195"/>
      <c r="K50" s="195"/>
      <c r="L50" s="196"/>
      <c r="M50" s="200"/>
      <c r="N50" s="201"/>
      <c r="O50" s="201"/>
      <c r="P50" s="201"/>
      <c r="Q50" s="201"/>
      <c r="R50" s="201"/>
      <c r="S50" s="201"/>
      <c r="T50" s="201"/>
      <c r="U50" s="201"/>
      <c r="V50" s="201"/>
      <c r="W50" s="201"/>
      <c r="X50" s="201"/>
      <c r="Y50" s="201"/>
      <c r="Z50" s="201"/>
      <c r="AA50" s="201"/>
      <c r="AB50" s="202"/>
    </row>
  </sheetData>
  <sheetProtection algorithmName="SHA-512" hashValue="O3DwUHp6iDOrzaC5gWlHHd7+yqQGmskgr0d3fhTbXfeZT9p2r+ZkyQTPNpvr97gDpVVuXcKtNFUB769eQ6m/kw==" saltValue="cUTxZaS0yBhe+XZAAlXqwQ==" spinCount="100000" sheet="1" selectLockedCells="1"/>
  <mergeCells count="55">
    <mergeCell ref="AF17:AJ17"/>
    <mergeCell ref="AC26:AJ26"/>
    <mergeCell ref="AC25:AJ25"/>
    <mergeCell ref="AF10:AJ10"/>
    <mergeCell ref="AF12:AJ12"/>
    <mergeCell ref="AF13:AJ13"/>
    <mergeCell ref="K12:AE12"/>
    <mergeCell ref="AF14:AJ14"/>
    <mergeCell ref="AF15:AJ15"/>
    <mergeCell ref="AF16:AJ16"/>
    <mergeCell ref="K15:AE15"/>
    <mergeCell ref="K22:AJ22"/>
    <mergeCell ref="K23:AJ24"/>
    <mergeCell ref="K14:AE14"/>
    <mergeCell ref="K13:AE13"/>
    <mergeCell ref="E41:L42"/>
    <mergeCell ref="M41:AB42"/>
    <mergeCell ref="E39:L40"/>
    <mergeCell ref="M39:AB40"/>
    <mergeCell ref="A39:B50"/>
    <mergeCell ref="E43:L44"/>
    <mergeCell ref="M43:AB44"/>
    <mergeCell ref="E45:L46"/>
    <mergeCell ref="M45:AB46"/>
    <mergeCell ref="E47:L48"/>
    <mergeCell ref="M47:AB48"/>
    <mergeCell ref="E49:L50"/>
    <mergeCell ref="M49:AB50"/>
    <mergeCell ref="C43:D50"/>
    <mergeCell ref="A14:I14"/>
    <mergeCell ref="A16:D17"/>
    <mergeCell ref="E16:J16"/>
    <mergeCell ref="K16:AE16"/>
    <mergeCell ref="E17:J17"/>
    <mergeCell ref="K17:AE17"/>
    <mergeCell ref="E15:J15"/>
    <mergeCell ref="AF5:AG5"/>
    <mergeCell ref="A1:AE2"/>
    <mergeCell ref="A12:D13"/>
    <mergeCell ref="A10:J10"/>
    <mergeCell ref="K10:AE10"/>
    <mergeCell ref="A6:AD6"/>
    <mergeCell ref="A18:D22"/>
    <mergeCell ref="AC27:AJ27"/>
    <mergeCell ref="A25:J25"/>
    <mergeCell ref="A26:J26"/>
    <mergeCell ref="A27:J27"/>
    <mergeCell ref="K25:AB25"/>
    <mergeCell ref="K26:AB26"/>
    <mergeCell ref="K27:AB27"/>
    <mergeCell ref="E18:J18"/>
    <mergeCell ref="K18:AJ18"/>
    <mergeCell ref="K19:AJ19"/>
    <mergeCell ref="K20:AJ20"/>
    <mergeCell ref="K21:AJ21"/>
  </mergeCells>
  <phoneticPr fontId="1"/>
  <dataValidations count="15">
    <dataValidation type="custom" imeMode="fullKatakana" allowBlank="1" showInputMessage="1" showErrorMessage="1" error="全角カタカナ40文字以内で記入ください" sqref="K21:AJ21" xr:uid="{2ABBA2A8-26F7-4B02-8C54-449D60AE5478}">
      <formula1>AND(PHONETIC(K21)=K21,LENB(K21)&lt;=80)</formula1>
    </dataValidation>
    <dataValidation type="date" imeMode="off" operator="greaterThanOrEqual" allowBlank="1" showInputMessage="1" showErrorMessage="1" errorTitle="年月日を入れてください" error="2023/10/25 の形で入力ください" sqref="K11:AE11" xr:uid="{5AA74DC4-7A46-4A8A-B6AB-B064ADC1E43F}">
      <formula1>36526</formula1>
    </dataValidation>
    <dataValidation type="custom" imeMode="off" allowBlank="1" showInputMessage="1" showErrorMessage="1" error=" 郵便番号を記載ください。ハイフン不要です。" sqref="J14" xr:uid="{F0781776-637E-499D-91D9-4D72E304A0D7}">
      <formula1>OR((LEN(J14)=7),(LEN(J14)=8))</formula1>
    </dataValidation>
    <dataValidation type="custom" imeMode="hiragana" allowBlank="1" showInputMessage="1" showErrorMessage="1" error="20文字以内で記入ください" sqref="K22:AJ22" xr:uid="{EC9C7932-CFBF-4F67-8CFB-DE753B6CC3D8}">
      <formula1>LENB(K22)&lt;=40</formula1>
    </dataValidation>
    <dataValidation type="custom" imeMode="disabled" allowBlank="1" showInputMessage="1" showErrorMessage="1" errorTitle="電話番号を記載ください" error="ハイフンは不要です。数字のみ記入ください" sqref="K18:AJ18" xr:uid="{EEB2D65F-7A4F-4977-82C9-451318D4870F}">
      <formula1>AND((OR((LEN(K18)=10),(LEN(K18)=11))),(ISNUMBER(VALUE(K18))))</formula1>
    </dataValidation>
    <dataValidation type="custom" imeMode="disabled" allowBlank="1" showInputMessage="1" showErrorMessage="1" errorTitle="メールアドレスは255文字以内" error="メールアドレスは１つだけ入力してください。" sqref="K25:AB25" xr:uid="{54865478-7A63-40F7-AD0A-DC1053B5A2B9}">
      <formula1>((LEN(K25)-LEN(SUBSTITUTE(K25, "@",""))/LEN("@"))=1)*NOT(COUNTIF(K25,"*,*"))*NOT(COUNTIF(K25,"*;*"))*(LEN(K25)&lt;=255)</formula1>
    </dataValidation>
    <dataValidation type="custom" imeMode="disabled" allowBlank="1" showInputMessage="1" showErrorMessage="1" error="英数字６桁で決めてください" sqref="K26:AB26" xr:uid="{1F0B8BBF-33A9-4E51-B1A0-782EA36838B7}">
      <formula1>AND(COUNT(INDEX(FIND(MID(UPPER(K26)&amp;REPT("*",6),ROW($1:$6),1),"ABCDEFGHIJKLMNOPQRSTUVWXYZ0123456789"),))=LEN(K26),LENB(K26)=6)</formula1>
    </dataValidation>
    <dataValidation type="custom" imeMode="fullKatakana" allowBlank="1" showInputMessage="1" showErrorMessage="1" error="全角カタカナ80文字以内で記入ください" sqref="K19:AJ19" xr:uid="{04017DC4-0359-421B-AC2E-8963881FD6FF}">
      <formula1>AND(PHONETIC(K19)=K19,LENB(K19)&lt;=160)</formula1>
    </dataValidation>
    <dataValidation type="custom" imeMode="hiragana" allowBlank="1" showInputMessage="1" showErrorMessage="1" error="40文字以内で記入ください" sqref="K13:AE13 K17:AE17" xr:uid="{F5415573-7674-4009-8D34-0A6740662E14}">
      <formula1>LENB(K13)&lt;=80</formula1>
    </dataValidation>
    <dataValidation type="custom" imeMode="hiragana" allowBlank="1" showInputMessage="1" showErrorMessage="1" error="128文字以内で記入ください" sqref="K16:AE16" xr:uid="{A7687F6C-E494-4882-A8EE-9F88A73DDBA9}">
      <formula1>LENB(K16)&lt;=256</formula1>
    </dataValidation>
    <dataValidation type="custom" imeMode="hiragana" allowBlank="1" showInputMessage="1" showErrorMessage="1" error="50文字以内で記入ください" sqref="K20:AJ20" xr:uid="{6F61DD30-2B55-4D4F-A227-7545C0307E00}">
      <formula1>LENB(K20)&lt;=100</formula1>
    </dataValidation>
    <dataValidation type="list" allowBlank="1" showInputMessage="1" showErrorMessage="1" errorTitle="必須" error="csvか固定長のどちらかを選択してください（エクセル利用の場合はcsv）" sqref="K27:AB27" xr:uid="{21414F6E-9935-4DD3-BC5A-E9FA97D9D2F3}">
      <formula1>"csv,固定長"</formula1>
    </dataValidation>
    <dataValidation type="date" imeMode="disabled" operator="greaterThanOrEqual" allowBlank="1" showInputMessage="1" showErrorMessage="1" errorTitle="年月日を入れてください" error="2023/10/25 の形で入力ください" sqref="K10:AE10" xr:uid="{341AF79B-524E-4FB2-8948-4E2784DDC047}">
      <formula1>44927</formula1>
    </dataValidation>
    <dataValidation type="custom" imeMode="disabled" allowBlank="1" showInputMessage="1" showErrorMessage="1" error=" 郵便番号を記載ください。ハイフン不要です。" sqref="K14:AE14" xr:uid="{1BC460AB-09C4-4AB7-9607-F8F6D25E342B}">
      <formula1>AND((LEN(K14)=7),(ISNUMBER(VALUE(K14))))</formula1>
    </dataValidation>
    <dataValidation type="custom" imeMode="fullKatakana" allowBlank="1" showInputMessage="1" showErrorMessage="1" error="全角カタカナ80文字以内で記入ください" sqref="K12:AE12" xr:uid="{A13CDE6D-58BE-4553-929D-C0BE7E7FE5DB}">
      <formula1>LENB(K12)&lt;=160=AND(PHONETIC(K12)=K12,LENB(K12)&lt;=160)</formula1>
    </dataValidation>
  </dataValidations>
  <printOptions horizontalCentered="1"/>
  <pageMargins left="0.19685039370078741" right="0.15748031496062992" top="0.27559055118110237" bottom="0.35433070866141736" header="0.15748031496062992" footer="0.15748031496062992"/>
  <pageSetup paperSize="9"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C76FE-72B2-4A32-8063-FAE773307131}">
  <sheetPr>
    <tabColor rgb="FFFFFF00"/>
  </sheetPr>
  <dimension ref="A1:Q512"/>
  <sheetViews>
    <sheetView zoomScale="80" zoomScaleNormal="80" workbookViewId="0">
      <selection activeCell="E13" sqref="E13"/>
    </sheetView>
  </sheetViews>
  <sheetFormatPr defaultColWidth="11" defaultRowHeight="16.5"/>
  <cols>
    <col min="1" max="1" width="6.25" style="10" customWidth="1"/>
    <col min="2" max="2" width="9.125" style="10" customWidth="1"/>
    <col min="3" max="3" width="9.125" style="10" hidden="1" customWidth="1"/>
    <col min="4" max="4" width="12" style="10" hidden="1" customWidth="1"/>
    <col min="5" max="5" width="24.5" style="10" customWidth="1"/>
    <col min="6" max="6" width="24.875" style="10" bestFit="1" customWidth="1"/>
    <col min="7" max="7" width="25.625" style="10" customWidth="1"/>
    <col min="8" max="9" width="8.625" style="10" hidden="1" customWidth="1"/>
    <col min="10" max="10" width="20" style="10" hidden="1" customWidth="1"/>
    <col min="11" max="11" width="10.25" style="10" hidden="1" customWidth="1"/>
    <col min="12" max="12" width="20.125" style="10" hidden="1" customWidth="1"/>
    <col min="13" max="13" width="11" style="10" hidden="1" customWidth="1"/>
    <col min="14" max="16384" width="11" style="10"/>
  </cols>
  <sheetData>
    <row r="1" spans="1:17" ht="24.75">
      <c r="A1" s="9" t="s">
        <v>87</v>
      </c>
    </row>
    <row r="2" spans="1:17" ht="69.599999999999994" customHeight="1">
      <c r="A2" s="112"/>
      <c r="B2" s="112"/>
      <c r="E2" s="241" t="s">
        <v>189</v>
      </c>
      <c r="F2" s="241"/>
      <c r="G2" s="241"/>
      <c r="H2" s="241"/>
      <c r="I2" s="241"/>
      <c r="J2" s="241"/>
      <c r="K2" s="241"/>
      <c r="L2" s="241"/>
      <c r="M2" s="241"/>
      <c r="N2" s="241"/>
      <c r="O2" s="241"/>
      <c r="P2" s="241"/>
      <c r="Q2" s="241"/>
    </row>
    <row r="3" spans="1:17" ht="28.9" customHeight="1">
      <c r="A3" s="9"/>
      <c r="E3" s="17" t="s">
        <v>149</v>
      </c>
      <c r="F3" s="87"/>
    </row>
    <row r="4" spans="1:17" ht="30" customHeight="1">
      <c r="A4" s="9"/>
      <c r="E4" s="242" t="s">
        <v>191</v>
      </c>
      <c r="F4" s="242"/>
      <c r="G4" s="242"/>
      <c r="H4" s="242"/>
      <c r="I4" s="242"/>
      <c r="J4" s="242"/>
      <c r="K4" s="242"/>
      <c r="L4" s="242"/>
      <c r="M4" s="242"/>
      <c r="N4" s="242"/>
      <c r="O4" s="242"/>
      <c r="P4" s="242"/>
      <c r="Q4" s="242"/>
    </row>
    <row r="5" spans="1:17" ht="22.15" customHeight="1">
      <c r="A5" s="9"/>
      <c r="E5" s="114" t="s">
        <v>190</v>
      </c>
      <c r="F5" s="115"/>
      <c r="G5" s="116"/>
    </row>
    <row r="6" spans="1:17" ht="30" customHeight="1" thickBot="1">
      <c r="A6" s="9"/>
      <c r="C6" s="17"/>
      <c r="E6" s="17" t="s">
        <v>113</v>
      </c>
      <c r="F6" s="87"/>
    </row>
    <row r="7" spans="1:17" ht="37.15" customHeight="1" thickBot="1">
      <c r="E7" s="238" t="s">
        <v>148</v>
      </c>
      <c r="F7" s="239"/>
      <c r="G7" s="240"/>
      <c r="H7" s="80"/>
      <c r="I7" s="80"/>
      <c r="J7" s="238" t="s">
        <v>140</v>
      </c>
      <c r="K7" s="239"/>
      <c r="L7" s="240"/>
      <c r="M7" s="10" t="s">
        <v>99</v>
      </c>
    </row>
    <row r="8" spans="1:17" ht="84" customHeight="1">
      <c r="B8" s="11" t="s">
        <v>88</v>
      </c>
      <c r="C8" s="11"/>
      <c r="D8" s="11" t="s">
        <v>143</v>
      </c>
      <c r="E8" s="13" t="s">
        <v>152</v>
      </c>
      <c r="F8" s="77"/>
      <c r="G8" s="12" t="s">
        <v>153</v>
      </c>
      <c r="H8" s="81"/>
      <c r="I8" s="81"/>
      <c r="J8" s="13" t="s">
        <v>145</v>
      </c>
      <c r="K8" s="236" t="s">
        <v>147</v>
      </c>
      <c r="L8" s="237"/>
    </row>
    <row r="9" spans="1:17" s="14" customFormat="1" ht="63.6" customHeight="1" thickBot="1">
      <c r="B9" s="64" t="s">
        <v>89</v>
      </c>
      <c r="C9" s="64"/>
      <c r="D9" s="65" t="s">
        <v>90</v>
      </c>
      <c r="E9" s="78" t="s">
        <v>141</v>
      </c>
      <c r="F9" s="79" t="s">
        <v>142</v>
      </c>
      <c r="G9" s="64"/>
      <c r="H9" s="64"/>
      <c r="I9" s="64"/>
      <c r="J9" s="82" t="s">
        <v>146</v>
      </c>
      <c r="K9" s="83" t="s">
        <v>144</v>
      </c>
      <c r="L9" s="84" t="s">
        <v>151</v>
      </c>
      <c r="M9" s="10" t="s">
        <v>122</v>
      </c>
      <c r="N9" s="10"/>
      <c r="O9" s="10"/>
    </row>
    <row r="10" spans="1:17" s="14" customFormat="1" ht="21.6" customHeight="1">
      <c r="B10" s="18" t="s">
        <v>94</v>
      </c>
      <c r="C10" s="18"/>
      <c r="D10" s="63">
        <v>1</v>
      </c>
      <c r="E10" s="54" t="s">
        <v>100</v>
      </c>
      <c r="F10" s="54"/>
      <c r="G10" s="55"/>
      <c r="H10" s="55"/>
      <c r="I10" s="55"/>
      <c r="J10" s="94" t="s">
        <v>114</v>
      </c>
      <c r="K10" s="95"/>
      <c r="L10" s="96"/>
      <c r="M10" s="10"/>
      <c r="N10" s="10"/>
      <c r="O10" s="10"/>
    </row>
    <row r="11" spans="1:17" s="14" customFormat="1" ht="21.6" customHeight="1">
      <c r="B11" s="20" t="s">
        <v>95</v>
      </c>
      <c r="C11" s="20"/>
      <c r="D11" s="19">
        <v>2</v>
      </c>
      <c r="E11" s="56" t="s">
        <v>92</v>
      </c>
      <c r="F11" s="56"/>
      <c r="G11" s="57"/>
      <c r="H11" s="57"/>
      <c r="I11" s="57"/>
      <c r="J11" s="97"/>
      <c r="K11" s="98" t="s">
        <v>93</v>
      </c>
      <c r="L11" s="99"/>
      <c r="M11" s="10"/>
      <c r="N11" s="10"/>
      <c r="O11" s="10"/>
    </row>
    <row r="12" spans="1:17" s="14" customFormat="1" ht="21.6" customHeight="1">
      <c r="B12" s="20" t="s">
        <v>96</v>
      </c>
      <c r="C12" s="20"/>
      <c r="D12" s="19">
        <v>3</v>
      </c>
      <c r="E12" s="56" t="s">
        <v>121</v>
      </c>
      <c r="F12" s="56"/>
      <c r="G12" s="57"/>
      <c r="H12" s="57"/>
      <c r="I12" s="57"/>
      <c r="J12" s="97"/>
      <c r="K12" s="98"/>
      <c r="L12" s="100"/>
      <c r="M12" s="10"/>
      <c r="N12" s="10"/>
      <c r="O12" s="10"/>
    </row>
    <row r="13" spans="1:17" ht="22.5">
      <c r="B13" s="15">
        <v>1</v>
      </c>
      <c r="C13" s="15"/>
      <c r="D13" s="21" t="str">
        <f>IF(LEN(E13)=0,"",IF((AND(ISNUMBER(VALUE(E13)),LEN(E13)=12)),3,IF(AND(ISNUMBER(VALUE(E13)),(LEN(E13)=10)),1,IF(AND(OR((LEFT(E13)="R"),(LEFT(E13)="R")),(ISNUMBER(VALUE(RIGHT(E13,9)))),(LEN(E13)=10)),2,FALSE))))</f>
        <v/>
      </c>
      <c r="E13" s="60"/>
      <c r="F13" s="110" t="str">
        <f>IF(D13=FALSE,"←ご確認ください",IF(OR(D13=1,D13=2,D13=3),"形式OK",""))</f>
        <v/>
      </c>
      <c r="G13" s="60"/>
      <c r="H13" s="60"/>
      <c r="I13" s="60"/>
      <c r="J13" s="88"/>
      <c r="K13" s="89"/>
      <c r="L13" s="90"/>
      <c r="M13" s="10" t="b">
        <f>IF(COUNTA(E13,G13)=0,FALSE,TRUE)</f>
        <v>0</v>
      </c>
    </row>
    <row r="14" spans="1:17" ht="22.5">
      <c r="B14" s="15">
        <v>2</v>
      </c>
      <c r="C14" s="15"/>
      <c r="D14" s="21" t="str">
        <f t="shared" ref="D14:D77" si="0">IF(LEN(E14)=0,"",IF((AND(ISNUMBER(VALUE(E14)),LEN(E14)=12)),3,IF(AND(ISNUMBER(VALUE(E14)),(LEN(E14)=10)),1,IF(AND(OR((LEFT(E14)="R"),(LEFT(E14)="R")),(ISNUMBER(VALUE(RIGHT(E14,9)))),(LEN(E14)=10)),2,FALSE))))</f>
        <v/>
      </c>
      <c r="E14" s="60"/>
      <c r="F14" s="110" t="str">
        <f t="shared" ref="F14:F77" si="1">IF(D14=FALSE,"←ご確認ください",IF(OR(D14=1,D14=2,D14=3),"形式OK",""))</f>
        <v/>
      </c>
      <c r="G14" s="60"/>
      <c r="H14" s="60"/>
      <c r="I14" s="60"/>
      <c r="J14" s="88"/>
      <c r="K14" s="89"/>
      <c r="L14" s="90"/>
      <c r="M14" s="10" t="b">
        <f t="shared" ref="M14:M76" si="2">IF(COUNTA(E14,G14)=0,FALSE,TRUE)</f>
        <v>0</v>
      </c>
    </row>
    <row r="15" spans="1:17" ht="22.5">
      <c r="B15" s="15">
        <v>3</v>
      </c>
      <c r="C15" s="15"/>
      <c r="D15" s="21" t="str">
        <f t="shared" si="0"/>
        <v/>
      </c>
      <c r="E15" s="60"/>
      <c r="F15" s="110" t="str">
        <f t="shared" si="1"/>
        <v/>
      </c>
      <c r="G15" s="60"/>
      <c r="H15" s="60"/>
      <c r="I15" s="60"/>
      <c r="J15" s="88"/>
      <c r="K15" s="89"/>
      <c r="L15" s="90"/>
      <c r="M15" s="10" t="b">
        <f t="shared" si="2"/>
        <v>0</v>
      </c>
    </row>
    <row r="16" spans="1:17" ht="22.5">
      <c r="B16" s="15">
        <v>4</v>
      </c>
      <c r="C16" s="15"/>
      <c r="D16" s="21" t="str">
        <f t="shared" si="0"/>
        <v/>
      </c>
      <c r="E16" s="60"/>
      <c r="F16" s="110" t="str">
        <f t="shared" si="1"/>
        <v/>
      </c>
      <c r="G16" s="60"/>
      <c r="H16" s="60"/>
      <c r="I16" s="60"/>
      <c r="J16" s="88"/>
      <c r="K16" s="89"/>
      <c r="L16" s="90"/>
      <c r="M16" s="10" t="b">
        <f t="shared" si="2"/>
        <v>0</v>
      </c>
    </row>
    <row r="17" spans="2:13" ht="22.5">
      <c r="B17" s="15">
        <v>5</v>
      </c>
      <c r="C17" s="15"/>
      <c r="D17" s="21" t="str">
        <f t="shared" si="0"/>
        <v/>
      </c>
      <c r="E17" s="60"/>
      <c r="F17" s="110" t="str">
        <f t="shared" si="1"/>
        <v/>
      </c>
      <c r="G17" s="60"/>
      <c r="H17" s="60"/>
      <c r="I17" s="60"/>
      <c r="J17" s="88"/>
      <c r="K17" s="89"/>
      <c r="L17" s="90"/>
      <c r="M17" s="10" t="b">
        <f t="shared" si="2"/>
        <v>0</v>
      </c>
    </row>
    <row r="18" spans="2:13" ht="22.5">
      <c r="B18" s="15">
        <v>6</v>
      </c>
      <c r="C18" s="15"/>
      <c r="D18" s="21" t="str">
        <f t="shared" si="0"/>
        <v/>
      </c>
      <c r="E18" s="60"/>
      <c r="F18" s="110" t="str">
        <f t="shared" si="1"/>
        <v/>
      </c>
      <c r="G18" s="60"/>
      <c r="H18" s="60"/>
      <c r="I18" s="60"/>
      <c r="J18" s="88"/>
      <c r="K18" s="89"/>
      <c r="L18" s="90"/>
      <c r="M18" s="10" t="b">
        <f t="shared" si="2"/>
        <v>0</v>
      </c>
    </row>
    <row r="19" spans="2:13" ht="22.5">
      <c r="B19" s="15">
        <v>7</v>
      </c>
      <c r="C19" s="15"/>
      <c r="D19" s="21" t="str">
        <f t="shared" si="0"/>
        <v/>
      </c>
      <c r="E19" s="60"/>
      <c r="F19" s="110" t="str">
        <f t="shared" si="1"/>
        <v/>
      </c>
      <c r="G19" s="60"/>
      <c r="H19" s="60"/>
      <c r="I19" s="60"/>
      <c r="J19" s="88"/>
      <c r="K19" s="89"/>
      <c r="L19" s="90"/>
      <c r="M19" s="10" t="b">
        <f t="shared" si="2"/>
        <v>0</v>
      </c>
    </row>
    <row r="20" spans="2:13" ht="22.5">
      <c r="B20" s="15">
        <v>8</v>
      </c>
      <c r="C20" s="15"/>
      <c r="D20" s="21" t="str">
        <f t="shared" si="0"/>
        <v/>
      </c>
      <c r="E20" s="60"/>
      <c r="F20" s="110" t="str">
        <f t="shared" si="1"/>
        <v/>
      </c>
      <c r="G20" s="60"/>
      <c r="H20" s="60"/>
      <c r="I20" s="60"/>
      <c r="J20" s="88"/>
      <c r="K20" s="89"/>
      <c r="L20" s="90"/>
      <c r="M20" s="10" t="b">
        <f t="shared" si="2"/>
        <v>0</v>
      </c>
    </row>
    <row r="21" spans="2:13" ht="22.5">
      <c r="B21" s="15">
        <v>9</v>
      </c>
      <c r="C21" s="15"/>
      <c r="D21" s="21" t="str">
        <f t="shared" si="0"/>
        <v/>
      </c>
      <c r="E21" s="61"/>
      <c r="F21" s="110" t="str">
        <f t="shared" si="1"/>
        <v/>
      </c>
      <c r="G21" s="60"/>
      <c r="H21" s="60"/>
      <c r="I21" s="60"/>
      <c r="J21" s="88"/>
      <c r="K21" s="89"/>
      <c r="L21" s="90"/>
      <c r="M21" s="10" t="b">
        <f t="shared" si="2"/>
        <v>0</v>
      </c>
    </row>
    <row r="22" spans="2:13" ht="22.5">
      <c r="B22" s="15">
        <v>10</v>
      </c>
      <c r="C22" s="15"/>
      <c r="D22" s="21" t="str">
        <f t="shared" si="0"/>
        <v/>
      </c>
      <c r="E22" s="60"/>
      <c r="F22" s="110" t="str">
        <f t="shared" si="1"/>
        <v/>
      </c>
      <c r="G22" s="60"/>
      <c r="H22" s="60"/>
      <c r="I22" s="60"/>
      <c r="J22" s="88"/>
      <c r="K22" s="89"/>
      <c r="L22" s="90"/>
      <c r="M22" s="10" t="b">
        <f t="shared" si="2"/>
        <v>0</v>
      </c>
    </row>
    <row r="23" spans="2:13" ht="22.5">
      <c r="B23" s="15">
        <v>11</v>
      </c>
      <c r="C23" s="15"/>
      <c r="D23" s="21" t="str">
        <f t="shared" si="0"/>
        <v/>
      </c>
      <c r="E23" s="60"/>
      <c r="F23" s="110" t="str">
        <f t="shared" si="1"/>
        <v/>
      </c>
      <c r="G23" s="60"/>
      <c r="H23" s="60"/>
      <c r="I23" s="60"/>
      <c r="J23" s="88"/>
      <c r="K23" s="89"/>
      <c r="L23" s="90"/>
      <c r="M23" s="10" t="b">
        <f t="shared" si="2"/>
        <v>0</v>
      </c>
    </row>
    <row r="24" spans="2:13" ht="22.5">
      <c r="B24" s="15">
        <v>12</v>
      </c>
      <c r="C24" s="15"/>
      <c r="D24" s="21" t="str">
        <f t="shared" si="0"/>
        <v/>
      </c>
      <c r="E24" s="60"/>
      <c r="F24" s="110" t="str">
        <f t="shared" si="1"/>
        <v/>
      </c>
      <c r="G24" s="60"/>
      <c r="H24" s="60"/>
      <c r="I24" s="60"/>
      <c r="J24" s="88"/>
      <c r="K24" s="89"/>
      <c r="L24" s="90"/>
      <c r="M24" s="10" t="b">
        <f t="shared" si="2"/>
        <v>0</v>
      </c>
    </row>
    <row r="25" spans="2:13" ht="22.5">
      <c r="B25" s="15">
        <v>13</v>
      </c>
      <c r="C25" s="15"/>
      <c r="D25" s="21" t="str">
        <f t="shared" si="0"/>
        <v/>
      </c>
      <c r="E25" s="60"/>
      <c r="F25" s="110" t="str">
        <f t="shared" si="1"/>
        <v/>
      </c>
      <c r="G25" s="60"/>
      <c r="H25" s="60"/>
      <c r="I25" s="60"/>
      <c r="J25" s="88"/>
      <c r="K25" s="89"/>
      <c r="L25" s="90"/>
      <c r="M25" s="10" t="b">
        <f t="shared" si="2"/>
        <v>0</v>
      </c>
    </row>
    <row r="26" spans="2:13" ht="22.5">
      <c r="B26" s="15">
        <v>14</v>
      </c>
      <c r="C26" s="15"/>
      <c r="D26" s="21" t="str">
        <f t="shared" si="0"/>
        <v/>
      </c>
      <c r="E26" s="60"/>
      <c r="F26" s="110" t="str">
        <f t="shared" si="1"/>
        <v/>
      </c>
      <c r="G26" s="60"/>
      <c r="H26" s="60"/>
      <c r="I26" s="60"/>
      <c r="J26" s="88"/>
      <c r="K26" s="89"/>
      <c r="L26" s="90"/>
      <c r="M26" s="10" t="b">
        <f t="shared" si="2"/>
        <v>0</v>
      </c>
    </row>
    <row r="27" spans="2:13" ht="22.5">
      <c r="B27" s="15">
        <v>15</v>
      </c>
      <c r="C27" s="15"/>
      <c r="D27" s="21" t="str">
        <f t="shared" si="0"/>
        <v/>
      </c>
      <c r="E27" s="60"/>
      <c r="F27" s="110" t="str">
        <f t="shared" si="1"/>
        <v/>
      </c>
      <c r="G27" s="60"/>
      <c r="H27" s="60"/>
      <c r="I27" s="60"/>
      <c r="J27" s="88"/>
      <c r="K27" s="89"/>
      <c r="L27" s="90"/>
      <c r="M27" s="10" t="b">
        <f t="shared" si="2"/>
        <v>0</v>
      </c>
    </row>
    <row r="28" spans="2:13" ht="22.5">
      <c r="B28" s="15">
        <v>16</v>
      </c>
      <c r="C28" s="15"/>
      <c r="D28" s="21" t="str">
        <f t="shared" si="0"/>
        <v/>
      </c>
      <c r="E28" s="60"/>
      <c r="F28" s="110" t="str">
        <f t="shared" si="1"/>
        <v/>
      </c>
      <c r="G28" s="60"/>
      <c r="H28" s="60"/>
      <c r="I28" s="60"/>
      <c r="J28" s="88"/>
      <c r="K28" s="89"/>
      <c r="L28" s="90"/>
      <c r="M28" s="10" t="b">
        <f t="shared" si="2"/>
        <v>0</v>
      </c>
    </row>
    <row r="29" spans="2:13" ht="22.5">
      <c r="B29" s="15">
        <v>17</v>
      </c>
      <c r="C29" s="15"/>
      <c r="D29" s="21" t="str">
        <f t="shared" si="0"/>
        <v/>
      </c>
      <c r="E29" s="60"/>
      <c r="F29" s="110" t="str">
        <f t="shared" si="1"/>
        <v/>
      </c>
      <c r="G29" s="60"/>
      <c r="H29" s="60"/>
      <c r="I29" s="60"/>
      <c r="J29" s="88"/>
      <c r="K29" s="89"/>
      <c r="L29" s="90"/>
      <c r="M29" s="10" t="b">
        <f t="shared" si="2"/>
        <v>0</v>
      </c>
    </row>
    <row r="30" spans="2:13" ht="22.5">
      <c r="B30" s="15">
        <v>18</v>
      </c>
      <c r="C30" s="15"/>
      <c r="D30" s="21" t="str">
        <f t="shared" si="0"/>
        <v/>
      </c>
      <c r="E30" s="60"/>
      <c r="F30" s="110" t="str">
        <f t="shared" si="1"/>
        <v/>
      </c>
      <c r="G30" s="60"/>
      <c r="H30" s="60"/>
      <c r="I30" s="60"/>
      <c r="J30" s="88"/>
      <c r="K30" s="89"/>
      <c r="L30" s="90"/>
      <c r="M30" s="10" t="b">
        <f t="shared" si="2"/>
        <v>0</v>
      </c>
    </row>
    <row r="31" spans="2:13" ht="22.5">
      <c r="B31" s="15">
        <v>19</v>
      </c>
      <c r="C31" s="15"/>
      <c r="D31" s="21" t="str">
        <f t="shared" si="0"/>
        <v/>
      </c>
      <c r="E31" s="60"/>
      <c r="F31" s="110" t="str">
        <f t="shared" si="1"/>
        <v/>
      </c>
      <c r="G31" s="60"/>
      <c r="H31" s="60"/>
      <c r="I31" s="60"/>
      <c r="J31" s="88"/>
      <c r="K31" s="89"/>
      <c r="L31" s="90"/>
      <c r="M31" s="10" t="b">
        <f t="shared" si="2"/>
        <v>0</v>
      </c>
    </row>
    <row r="32" spans="2:13" ht="22.5">
      <c r="B32" s="15">
        <v>20</v>
      </c>
      <c r="C32" s="15"/>
      <c r="D32" s="21" t="str">
        <f t="shared" si="0"/>
        <v/>
      </c>
      <c r="E32" s="60"/>
      <c r="F32" s="110" t="str">
        <f t="shared" si="1"/>
        <v/>
      </c>
      <c r="G32" s="60"/>
      <c r="H32" s="60"/>
      <c r="I32" s="60"/>
      <c r="J32" s="88"/>
      <c r="K32" s="89"/>
      <c r="L32" s="90"/>
      <c r="M32" s="10" t="b">
        <f t="shared" si="2"/>
        <v>0</v>
      </c>
    </row>
    <row r="33" spans="2:13" ht="22.5">
      <c r="B33" s="15">
        <v>21</v>
      </c>
      <c r="C33" s="15"/>
      <c r="D33" s="21" t="str">
        <f t="shared" si="0"/>
        <v/>
      </c>
      <c r="E33" s="60"/>
      <c r="F33" s="110" t="str">
        <f t="shared" si="1"/>
        <v/>
      </c>
      <c r="G33" s="60"/>
      <c r="H33" s="60"/>
      <c r="I33" s="60"/>
      <c r="J33" s="88"/>
      <c r="K33" s="89"/>
      <c r="L33" s="90"/>
      <c r="M33" s="10" t="b">
        <f t="shared" si="2"/>
        <v>0</v>
      </c>
    </row>
    <row r="34" spans="2:13" ht="22.5">
      <c r="B34" s="15">
        <v>22</v>
      </c>
      <c r="C34" s="15"/>
      <c r="D34" s="21" t="str">
        <f t="shared" si="0"/>
        <v/>
      </c>
      <c r="E34" s="60"/>
      <c r="F34" s="110" t="str">
        <f t="shared" si="1"/>
        <v/>
      </c>
      <c r="G34" s="60"/>
      <c r="H34" s="60"/>
      <c r="I34" s="60"/>
      <c r="J34" s="88"/>
      <c r="K34" s="89"/>
      <c r="L34" s="90"/>
      <c r="M34" s="10" t="b">
        <f t="shared" si="2"/>
        <v>0</v>
      </c>
    </row>
    <row r="35" spans="2:13" ht="22.5">
      <c r="B35" s="15">
        <v>23</v>
      </c>
      <c r="C35" s="15"/>
      <c r="D35" s="21" t="str">
        <f t="shared" si="0"/>
        <v/>
      </c>
      <c r="E35" s="60"/>
      <c r="F35" s="110" t="str">
        <f t="shared" si="1"/>
        <v/>
      </c>
      <c r="G35" s="60"/>
      <c r="H35" s="60"/>
      <c r="I35" s="60"/>
      <c r="J35" s="88"/>
      <c r="K35" s="89"/>
      <c r="L35" s="90"/>
      <c r="M35" s="10" t="b">
        <f t="shared" si="2"/>
        <v>0</v>
      </c>
    </row>
    <row r="36" spans="2:13" ht="22.5">
      <c r="B36" s="15">
        <v>24</v>
      </c>
      <c r="C36" s="15"/>
      <c r="D36" s="21" t="str">
        <f t="shared" si="0"/>
        <v/>
      </c>
      <c r="E36" s="60"/>
      <c r="F36" s="110" t="str">
        <f t="shared" si="1"/>
        <v/>
      </c>
      <c r="G36" s="60"/>
      <c r="H36" s="60"/>
      <c r="I36" s="60"/>
      <c r="J36" s="88"/>
      <c r="K36" s="89"/>
      <c r="L36" s="90"/>
      <c r="M36" s="10" t="b">
        <f t="shared" si="2"/>
        <v>0</v>
      </c>
    </row>
    <row r="37" spans="2:13" ht="22.5">
      <c r="B37" s="15">
        <v>25</v>
      </c>
      <c r="C37" s="15"/>
      <c r="D37" s="21" t="str">
        <f t="shared" si="0"/>
        <v/>
      </c>
      <c r="E37" s="60"/>
      <c r="F37" s="110" t="str">
        <f t="shared" si="1"/>
        <v/>
      </c>
      <c r="G37" s="60"/>
      <c r="H37" s="60"/>
      <c r="I37" s="60"/>
      <c r="J37" s="88"/>
      <c r="K37" s="89"/>
      <c r="L37" s="90"/>
      <c r="M37" s="10" t="b">
        <f t="shared" si="2"/>
        <v>0</v>
      </c>
    </row>
    <row r="38" spans="2:13" ht="22.5">
      <c r="B38" s="15">
        <v>26</v>
      </c>
      <c r="C38" s="15"/>
      <c r="D38" s="21" t="str">
        <f t="shared" si="0"/>
        <v/>
      </c>
      <c r="E38" s="60"/>
      <c r="F38" s="110" t="str">
        <f t="shared" si="1"/>
        <v/>
      </c>
      <c r="G38" s="60"/>
      <c r="H38" s="60"/>
      <c r="I38" s="60"/>
      <c r="J38" s="88"/>
      <c r="K38" s="89"/>
      <c r="L38" s="90"/>
      <c r="M38" s="10" t="b">
        <f t="shared" si="2"/>
        <v>0</v>
      </c>
    </row>
    <row r="39" spans="2:13" ht="22.5">
      <c r="B39" s="15">
        <v>27</v>
      </c>
      <c r="C39" s="15"/>
      <c r="D39" s="21" t="str">
        <f t="shared" si="0"/>
        <v/>
      </c>
      <c r="E39" s="60"/>
      <c r="F39" s="110" t="str">
        <f t="shared" si="1"/>
        <v/>
      </c>
      <c r="G39" s="60"/>
      <c r="H39" s="60"/>
      <c r="I39" s="60"/>
      <c r="J39" s="88"/>
      <c r="K39" s="89"/>
      <c r="L39" s="90"/>
      <c r="M39" s="10" t="b">
        <f t="shared" si="2"/>
        <v>0</v>
      </c>
    </row>
    <row r="40" spans="2:13" ht="22.5">
      <c r="B40" s="15">
        <v>28</v>
      </c>
      <c r="C40" s="15"/>
      <c r="D40" s="21" t="str">
        <f t="shared" si="0"/>
        <v/>
      </c>
      <c r="E40" s="60"/>
      <c r="F40" s="110" t="str">
        <f t="shared" si="1"/>
        <v/>
      </c>
      <c r="G40" s="60"/>
      <c r="H40" s="60"/>
      <c r="I40" s="60"/>
      <c r="J40" s="88"/>
      <c r="K40" s="89"/>
      <c r="L40" s="90"/>
      <c r="M40" s="10" t="b">
        <f t="shared" si="2"/>
        <v>0</v>
      </c>
    </row>
    <row r="41" spans="2:13" ht="22.5">
      <c r="B41" s="15">
        <v>29</v>
      </c>
      <c r="C41" s="15"/>
      <c r="D41" s="21" t="str">
        <f t="shared" si="0"/>
        <v/>
      </c>
      <c r="E41" s="60"/>
      <c r="F41" s="110" t="str">
        <f t="shared" si="1"/>
        <v/>
      </c>
      <c r="G41" s="60"/>
      <c r="H41" s="60"/>
      <c r="I41" s="60"/>
      <c r="J41" s="88"/>
      <c r="K41" s="89"/>
      <c r="L41" s="90"/>
      <c r="M41" s="10" t="b">
        <f t="shared" si="2"/>
        <v>0</v>
      </c>
    </row>
    <row r="42" spans="2:13" ht="22.5">
      <c r="B42" s="15">
        <v>30</v>
      </c>
      <c r="C42" s="15"/>
      <c r="D42" s="21" t="str">
        <f t="shared" si="0"/>
        <v/>
      </c>
      <c r="E42" s="60"/>
      <c r="F42" s="110" t="str">
        <f t="shared" si="1"/>
        <v/>
      </c>
      <c r="G42" s="60"/>
      <c r="H42" s="60"/>
      <c r="I42" s="60"/>
      <c r="J42" s="88"/>
      <c r="K42" s="89"/>
      <c r="L42" s="90"/>
      <c r="M42" s="10" t="b">
        <f t="shared" si="2"/>
        <v>0</v>
      </c>
    </row>
    <row r="43" spans="2:13" ht="22.5">
      <c r="B43" s="15">
        <v>31</v>
      </c>
      <c r="C43" s="15"/>
      <c r="D43" s="21" t="str">
        <f t="shared" si="0"/>
        <v/>
      </c>
      <c r="E43" s="60"/>
      <c r="F43" s="110" t="str">
        <f t="shared" si="1"/>
        <v/>
      </c>
      <c r="G43" s="60"/>
      <c r="H43" s="60"/>
      <c r="I43" s="60"/>
      <c r="J43" s="88"/>
      <c r="K43" s="89"/>
      <c r="L43" s="90"/>
      <c r="M43" s="10" t="b">
        <f t="shared" si="2"/>
        <v>0</v>
      </c>
    </row>
    <row r="44" spans="2:13" ht="22.5">
      <c r="B44" s="15">
        <v>32</v>
      </c>
      <c r="C44" s="15"/>
      <c r="D44" s="21" t="str">
        <f t="shared" si="0"/>
        <v/>
      </c>
      <c r="E44" s="60"/>
      <c r="F44" s="110" t="str">
        <f t="shared" si="1"/>
        <v/>
      </c>
      <c r="G44" s="60"/>
      <c r="H44" s="60"/>
      <c r="I44" s="60"/>
      <c r="J44" s="88"/>
      <c r="K44" s="89"/>
      <c r="L44" s="90"/>
      <c r="M44" s="10" t="b">
        <f t="shared" si="2"/>
        <v>0</v>
      </c>
    </row>
    <row r="45" spans="2:13" ht="22.5">
      <c r="B45" s="15">
        <v>33</v>
      </c>
      <c r="C45" s="15"/>
      <c r="D45" s="21" t="str">
        <f t="shared" si="0"/>
        <v/>
      </c>
      <c r="E45" s="60"/>
      <c r="F45" s="110" t="str">
        <f t="shared" si="1"/>
        <v/>
      </c>
      <c r="G45" s="60"/>
      <c r="H45" s="60"/>
      <c r="I45" s="60"/>
      <c r="J45" s="88"/>
      <c r="K45" s="89"/>
      <c r="L45" s="90"/>
      <c r="M45" s="10" t="b">
        <f t="shared" si="2"/>
        <v>0</v>
      </c>
    </row>
    <row r="46" spans="2:13" ht="22.5">
      <c r="B46" s="15">
        <v>34</v>
      </c>
      <c r="C46" s="15"/>
      <c r="D46" s="21" t="str">
        <f t="shared" si="0"/>
        <v/>
      </c>
      <c r="E46" s="60"/>
      <c r="F46" s="110" t="str">
        <f t="shared" si="1"/>
        <v/>
      </c>
      <c r="G46" s="60"/>
      <c r="H46" s="60"/>
      <c r="I46" s="60"/>
      <c r="J46" s="88"/>
      <c r="K46" s="89"/>
      <c r="L46" s="90"/>
      <c r="M46" s="10" t="b">
        <f t="shared" si="2"/>
        <v>0</v>
      </c>
    </row>
    <row r="47" spans="2:13" ht="22.5">
      <c r="B47" s="15">
        <v>35</v>
      </c>
      <c r="C47" s="15"/>
      <c r="D47" s="21" t="str">
        <f t="shared" si="0"/>
        <v/>
      </c>
      <c r="E47" s="60"/>
      <c r="F47" s="110" t="str">
        <f t="shared" si="1"/>
        <v/>
      </c>
      <c r="G47" s="60"/>
      <c r="H47" s="60"/>
      <c r="I47" s="60"/>
      <c r="J47" s="88"/>
      <c r="K47" s="89"/>
      <c r="L47" s="90"/>
      <c r="M47" s="10" t="b">
        <f t="shared" si="2"/>
        <v>0</v>
      </c>
    </row>
    <row r="48" spans="2:13" ht="22.5">
      <c r="B48" s="15">
        <v>36</v>
      </c>
      <c r="C48" s="15"/>
      <c r="D48" s="21" t="str">
        <f t="shared" si="0"/>
        <v/>
      </c>
      <c r="E48" s="60"/>
      <c r="F48" s="110" t="str">
        <f t="shared" si="1"/>
        <v/>
      </c>
      <c r="G48" s="60"/>
      <c r="H48" s="60"/>
      <c r="I48" s="60"/>
      <c r="J48" s="88"/>
      <c r="K48" s="89"/>
      <c r="L48" s="90"/>
      <c r="M48" s="10" t="b">
        <f t="shared" si="2"/>
        <v>0</v>
      </c>
    </row>
    <row r="49" spans="2:13" ht="22.5">
      <c r="B49" s="15">
        <v>37</v>
      </c>
      <c r="C49" s="15"/>
      <c r="D49" s="21" t="str">
        <f t="shared" si="0"/>
        <v/>
      </c>
      <c r="E49" s="60"/>
      <c r="F49" s="110" t="str">
        <f t="shared" si="1"/>
        <v/>
      </c>
      <c r="G49" s="60"/>
      <c r="H49" s="60"/>
      <c r="I49" s="60"/>
      <c r="J49" s="88"/>
      <c r="K49" s="89"/>
      <c r="L49" s="90"/>
      <c r="M49" s="10" t="b">
        <f t="shared" si="2"/>
        <v>0</v>
      </c>
    </row>
    <row r="50" spans="2:13" ht="22.5">
      <c r="B50" s="15">
        <v>38</v>
      </c>
      <c r="C50" s="15"/>
      <c r="D50" s="21" t="str">
        <f t="shared" si="0"/>
        <v/>
      </c>
      <c r="E50" s="60"/>
      <c r="F50" s="110" t="str">
        <f t="shared" si="1"/>
        <v/>
      </c>
      <c r="G50" s="60"/>
      <c r="H50" s="60"/>
      <c r="I50" s="60"/>
      <c r="J50" s="88"/>
      <c r="K50" s="89"/>
      <c r="L50" s="90"/>
      <c r="M50" s="10" t="b">
        <f t="shared" si="2"/>
        <v>0</v>
      </c>
    </row>
    <row r="51" spans="2:13" ht="22.5">
      <c r="B51" s="15">
        <v>39</v>
      </c>
      <c r="C51" s="15"/>
      <c r="D51" s="21" t="str">
        <f t="shared" si="0"/>
        <v/>
      </c>
      <c r="E51" s="60"/>
      <c r="F51" s="110" t="str">
        <f t="shared" si="1"/>
        <v/>
      </c>
      <c r="G51" s="60"/>
      <c r="H51" s="60"/>
      <c r="I51" s="60"/>
      <c r="J51" s="88"/>
      <c r="K51" s="89"/>
      <c r="L51" s="90"/>
      <c r="M51" s="10" t="b">
        <f t="shared" si="2"/>
        <v>0</v>
      </c>
    </row>
    <row r="52" spans="2:13" ht="22.5">
      <c r="B52" s="15">
        <v>40</v>
      </c>
      <c r="C52" s="15"/>
      <c r="D52" s="21" t="str">
        <f t="shared" si="0"/>
        <v/>
      </c>
      <c r="E52" s="60"/>
      <c r="F52" s="110" t="str">
        <f t="shared" si="1"/>
        <v/>
      </c>
      <c r="G52" s="60"/>
      <c r="H52" s="60"/>
      <c r="I52" s="60"/>
      <c r="J52" s="88"/>
      <c r="K52" s="89"/>
      <c r="L52" s="90"/>
      <c r="M52" s="10" t="b">
        <f t="shared" si="2"/>
        <v>0</v>
      </c>
    </row>
    <row r="53" spans="2:13" ht="22.5">
      <c r="B53" s="15">
        <v>41</v>
      </c>
      <c r="C53" s="15"/>
      <c r="D53" s="21" t="str">
        <f t="shared" si="0"/>
        <v/>
      </c>
      <c r="E53" s="60"/>
      <c r="F53" s="110" t="str">
        <f t="shared" si="1"/>
        <v/>
      </c>
      <c r="G53" s="60"/>
      <c r="H53" s="60"/>
      <c r="I53" s="60"/>
      <c r="J53" s="88"/>
      <c r="K53" s="89"/>
      <c r="L53" s="90"/>
      <c r="M53" s="10" t="b">
        <f t="shared" si="2"/>
        <v>0</v>
      </c>
    </row>
    <row r="54" spans="2:13" ht="22.5">
      <c r="B54" s="15">
        <v>42</v>
      </c>
      <c r="C54" s="15"/>
      <c r="D54" s="21" t="str">
        <f t="shared" si="0"/>
        <v/>
      </c>
      <c r="E54" s="60"/>
      <c r="F54" s="110" t="str">
        <f t="shared" si="1"/>
        <v/>
      </c>
      <c r="G54" s="60"/>
      <c r="H54" s="60"/>
      <c r="I54" s="60"/>
      <c r="J54" s="88"/>
      <c r="K54" s="89"/>
      <c r="L54" s="90"/>
      <c r="M54" s="10" t="b">
        <f t="shared" si="2"/>
        <v>0</v>
      </c>
    </row>
    <row r="55" spans="2:13" ht="22.5">
      <c r="B55" s="15">
        <v>43</v>
      </c>
      <c r="C55" s="15"/>
      <c r="D55" s="21" t="str">
        <f t="shared" si="0"/>
        <v/>
      </c>
      <c r="E55" s="60"/>
      <c r="F55" s="110" t="str">
        <f t="shared" si="1"/>
        <v/>
      </c>
      <c r="G55" s="60"/>
      <c r="H55" s="60"/>
      <c r="I55" s="60"/>
      <c r="J55" s="88"/>
      <c r="K55" s="89"/>
      <c r="L55" s="90"/>
      <c r="M55" s="10" t="b">
        <f t="shared" si="2"/>
        <v>0</v>
      </c>
    </row>
    <row r="56" spans="2:13" ht="22.5">
      <c r="B56" s="15">
        <v>44</v>
      </c>
      <c r="C56" s="15"/>
      <c r="D56" s="21" t="str">
        <f t="shared" si="0"/>
        <v/>
      </c>
      <c r="E56" s="60"/>
      <c r="F56" s="110" t="str">
        <f t="shared" si="1"/>
        <v/>
      </c>
      <c r="G56" s="60"/>
      <c r="H56" s="60"/>
      <c r="I56" s="60"/>
      <c r="J56" s="88"/>
      <c r="K56" s="89"/>
      <c r="L56" s="90"/>
      <c r="M56" s="10" t="b">
        <f t="shared" si="2"/>
        <v>0</v>
      </c>
    </row>
    <row r="57" spans="2:13" ht="22.5">
      <c r="B57" s="15">
        <v>45</v>
      </c>
      <c r="C57" s="15"/>
      <c r="D57" s="21" t="str">
        <f t="shared" si="0"/>
        <v/>
      </c>
      <c r="E57" s="60"/>
      <c r="F57" s="110" t="str">
        <f t="shared" si="1"/>
        <v/>
      </c>
      <c r="G57" s="60"/>
      <c r="H57" s="60"/>
      <c r="I57" s="60"/>
      <c r="J57" s="88"/>
      <c r="K57" s="89"/>
      <c r="L57" s="90"/>
      <c r="M57" s="10" t="b">
        <f t="shared" si="2"/>
        <v>0</v>
      </c>
    </row>
    <row r="58" spans="2:13" ht="22.5">
      <c r="B58" s="15">
        <v>46</v>
      </c>
      <c r="C58" s="15"/>
      <c r="D58" s="21" t="str">
        <f t="shared" si="0"/>
        <v/>
      </c>
      <c r="E58" s="60"/>
      <c r="F58" s="110" t="str">
        <f t="shared" si="1"/>
        <v/>
      </c>
      <c r="G58" s="60"/>
      <c r="H58" s="60"/>
      <c r="I58" s="60"/>
      <c r="J58" s="88"/>
      <c r="K58" s="89"/>
      <c r="L58" s="90"/>
      <c r="M58" s="10" t="b">
        <f t="shared" si="2"/>
        <v>0</v>
      </c>
    </row>
    <row r="59" spans="2:13" ht="22.5">
      <c r="B59" s="15">
        <v>47</v>
      </c>
      <c r="C59" s="15"/>
      <c r="D59" s="21" t="str">
        <f t="shared" si="0"/>
        <v/>
      </c>
      <c r="E59" s="60"/>
      <c r="F59" s="110" t="str">
        <f t="shared" si="1"/>
        <v/>
      </c>
      <c r="G59" s="60"/>
      <c r="H59" s="60"/>
      <c r="I59" s="60"/>
      <c r="J59" s="88"/>
      <c r="K59" s="89"/>
      <c r="L59" s="90"/>
      <c r="M59" s="10" t="b">
        <f t="shared" si="2"/>
        <v>0</v>
      </c>
    </row>
    <row r="60" spans="2:13" ht="22.5">
      <c r="B60" s="15">
        <v>48</v>
      </c>
      <c r="C60" s="15"/>
      <c r="D60" s="21" t="str">
        <f t="shared" si="0"/>
        <v/>
      </c>
      <c r="E60" s="60"/>
      <c r="F60" s="110" t="str">
        <f t="shared" si="1"/>
        <v/>
      </c>
      <c r="G60" s="60"/>
      <c r="H60" s="60"/>
      <c r="I60" s="60"/>
      <c r="J60" s="88"/>
      <c r="K60" s="89"/>
      <c r="L60" s="90"/>
      <c r="M60" s="10" t="b">
        <f t="shared" si="2"/>
        <v>0</v>
      </c>
    </row>
    <row r="61" spans="2:13" ht="22.5">
      <c r="B61" s="15">
        <v>49</v>
      </c>
      <c r="C61" s="15"/>
      <c r="D61" s="21" t="str">
        <f t="shared" si="0"/>
        <v/>
      </c>
      <c r="E61" s="60"/>
      <c r="F61" s="110" t="str">
        <f t="shared" si="1"/>
        <v/>
      </c>
      <c r="G61" s="60"/>
      <c r="H61" s="60"/>
      <c r="I61" s="60"/>
      <c r="J61" s="88"/>
      <c r="K61" s="89"/>
      <c r="L61" s="90"/>
      <c r="M61" s="10" t="b">
        <f t="shared" si="2"/>
        <v>0</v>
      </c>
    </row>
    <row r="62" spans="2:13" ht="22.5">
      <c r="B62" s="15">
        <v>50</v>
      </c>
      <c r="C62" s="15"/>
      <c r="D62" s="21" t="str">
        <f t="shared" si="0"/>
        <v/>
      </c>
      <c r="E62" s="60"/>
      <c r="F62" s="110" t="str">
        <f t="shared" si="1"/>
        <v/>
      </c>
      <c r="G62" s="60"/>
      <c r="H62" s="60"/>
      <c r="I62" s="60"/>
      <c r="J62" s="88"/>
      <c r="K62" s="89"/>
      <c r="L62" s="90"/>
      <c r="M62" s="10" t="b">
        <f t="shared" si="2"/>
        <v>0</v>
      </c>
    </row>
    <row r="63" spans="2:13" ht="22.5">
      <c r="B63" s="15">
        <v>51</v>
      </c>
      <c r="C63" s="15"/>
      <c r="D63" s="21" t="str">
        <f t="shared" si="0"/>
        <v/>
      </c>
      <c r="E63" s="60"/>
      <c r="F63" s="110" t="str">
        <f t="shared" si="1"/>
        <v/>
      </c>
      <c r="G63" s="60"/>
      <c r="H63" s="60"/>
      <c r="I63" s="60"/>
      <c r="J63" s="88"/>
      <c r="K63" s="89"/>
      <c r="L63" s="90"/>
      <c r="M63" s="10" t="b">
        <f t="shared" si="2"/>
        <v>0</v>
      </c>
    </row>
    <row r="64" spans="2:13" ht="22.5">
      <c r="B64" s="15">
        <v>52</v>
      </c>
      <c r="C64" s="15"/>
      <c r="D64" s="21" t="str">
        <f t="shared" si="0"/>
        <v/>
      </c>
      <c r="E64" s="60"/>
      <c r="F64" s="110" t="str">
        <f t="shared" si="1"/>
        <v/>
      </c>
      <c r="G64" s="60"/>
      <c r="H64" s="60"/>
      <c r="I64" s="60"/>
      <c r="J64" s="88"/>
      <c r="K64" s="89"/>
      <c r="L64" s="90"/>
      <c r="M64" s="10" t="b">
        <f t="shared" si="2"/>
        <v>0</v>
      </c>
    </row>
    <row r="65" spans="2:13" ht="22.5">
      <c r="B65" s="15">
        <v>53</v>
      </c>
      <c r="C65" s="15"/>
      <c r="D65" s="21" t="str">
        <f t="shared" si="0"/>
        <v/>
      </c>
      <c r="E65" s="60"/>
      <c r="F65" s="110" t="str">
        <f t="shared" si="1"/>
        <v/>
      </c>
      <c r="G65" s="60"/>
      <c r="H65" s="60"/>
      <c r="I65" s="60"/>
      <c r="J65" s="88"/>
      <c r="K65" s="89"/>
      <c r="L65" s="90"/>
      <c r="M65" s="10" t="b">
        <f t="shared" si="2"/>
        <v>0</v>
      </c>
    </row>
    <row r="66" spans="2:13" ht="22.5">
      <c r="B66" s="15">
        <v>54</v>
      </c>
      <c r="C66" s="15"/>
      <c r="D66" s="21" t="str">
        <f t="shared" si="0"/>
        <v/>
      </c>
      <c r="E66" s="60"/>
      <c r="F66" s="110" t="str">
        <f t="shared" si="1"/>
        <v/>
      </c>
      <c r="G66" s="60"/>
      <c r="H66" s="60"/>
      <c r="I66" s="60"/>
      <c r="J66" s="88"/>
      <c r="K66" s="89"/>
      <c r="L66" s="90"/>
      <c r="M66" s="10" t="b">
        <f t="shared" si="2"/>
        <v>0</v>
      </c>
    </row>
    <row r="67" spans="2:13" ht="22.5">
      <c r="B67" s="15">
        <v>55</v>
      </c>
      <c r="C67" s="15"/>
      <c r="D67" s="21" t="str">
        <f t="shared" si="0"/>
        <v/>
      </c>
      <c r="E67" s="60"/>
      <c r="F67" s="110" t="str">
        <f t="shared" si="1"/>
        <v/>
      </c>
      <c r="G67" s="60"/>
      <c r="H67" s="60"/>
      <c r="I67" s="60"/>
      <c r="J67" s="88"/>
      <c r="K67" s="89"/>
      <c r="L67" s="90"/>
      <c r="M67" s="10" t="b">
        <f t="shared" si="2"/>
        <v>0</v>
      </c>
    </row>
    <row r="68" spans="2:13" ht="22.5">
      <c r="B68" s="15">
        <v>56</v>
      </c>
      <c r="C68" s="15"/>
      <c r="D68" s="21" t="str">
        <f t="shared" si="0"/>
        <v/>
      </c>
      <c r="E68" s="60"/>
      <c r="F68" s="110" t="str">
        <f t="shared" si="1"/>
        <v/>
      </c>
      <c r="G68" s="60"/>
      <c r="H68" s="60"/>
      <c r="I68" s="60"/>
      <c r="J68" s="88"/>
      <c r="K68" s="89"/>
      <c r="L68" s="90"/>
      <c r="M68" s="10" t="b">
        <f t="shared" si="2"/>
        <v>0</v>
      </c>
    </row>
    <row r="69" spans="2:13" ht="22.5">
      <c r="B69" s="15">
        <v>57</v>
      </c>
      <c r="C69" s="15"/>
      <c r="D69" s="21" t="str">
        <f t="shared" si="0"/>
        <v/>
      </c>
      <c r="E69" s="60"/>
      <c r="F69" s="110" t="str">
        <f t="shared" si="1"/>
        <v/>
      </c>
      <c r="G69" s="60"/>
      <c r="H69" s="60"/>
      <c r="I69" s="60"/>
      <c r="J69" s="88"/>
      <c r="K69" s="89"/>
      <c r="L69" s="90"/>
      <c r="M69" s="10" t="b">
        <f t="shared" si="2"/>
        <v>0</v>
      </c>
    </row>
    <row r="70" spans="2:13" ht="22.5">
      <c r="B70" s="15">
        <v>58</v>
      </c>
      <c r="C70" s="15"/>
      <c r="D70" s="21" t="str">
        <f t="shared" si="0"/>
        <v/>
      </c>
      <c r="E70" s="60"/>
      <c r="F70" s="110" t="str">
        <f t="shared" si="1"/>
        <v/>
      </c>
      <c r="G70" s="60"/>
      <c r="H70" s="60"/>
      <c r="I70" s="60"/>
      <c r="J70" s="88"/>
      <c r="K70" s="89"/>
      <c r="L70" s="90"/>
      <c r="M70" s="10" t="b">
        <f t="shared" si="2"/>
        <v>0</v>
      </c>
    </row>
    <row r="71" spans="2:13" ht="22.5">
      <c r="B71" s="15">
        <v>59</v>
      </c>
      <c r="C71" s="15"/>
      <c r="D71" s="21" t="str">
        <f t="shared" si="0"/>
        <v/>
      </c>
      <c r="E71" s="60"/>
      <c r="F71" s="110" t="str">
        <f t="shared" si="1"/>
        <v/>
      </c>
      <c r="G71" s="60"/>
      <c r="H71" s="60"/>
      <c r="I71" s="60"/>
      <c r="J71" s="88"/>
      <c r="K71" s="89"/>
      <c r="L71" s="90"/>
      <c r="M71" s="10" t="b">
        <f t="shared" si="2"/>
        <v>0</v>
      </c>
    </row>
    <row r="72" spans="2:13" ht="22.5">
      <c r="B72" s="15">
        <v>60</v>
      </c>
      <c r="C72" s="15"/>
      <c r="D72" s="21" t="str">
        <f t="shared" si="0"/>
        <v/>
      </c>
      <c r="E72" s="60"/>
      <c r="F72" s="110" t="str">
        <f t="shared" si="1"/>
        <v/>
      </c>
      <c r="G72" s="60"/>
      <c r="H72" s="60"/>
      <c r="I72" s="60"/>
      <c r="J72" s="88"/>
      <c r="K72" s="89"/>
      <c r="L72" s="90"/>
      <c r="M72" s="10" t="b">
        <f t="shared" si="2"/>
        <v>0</v>
      </c>
    </row>
    <row r="73" spans="2:13" ht="22.5">
      <c r="B73" s="15">
        <v>61</v>
      </c>
      <c r="C73" s="15"/>
      <c r="D73" s="21" t="str">
        <f t="shared" si="0"/>
        <v/>
      </c>
      <c r="E73" s="60"/>
      <c r="F73" s="110" t="str">
        <f t="shared" si="1"/>
        <v/>
      </c>
      <c r="G73" s="60"/>
      <c r="H73" s="60"/>
      <c r="I73" s="60"/>
      <c r="J73" s="88"/>
      <c r="K73" s="89"/>
      <c r="L73" s="90"/>
      <c r="M73" s="10" t="b">
        <f t="shared" si="2"/>
        <v>0</v>
      </c>
    </row>
    <row r="74" spans="2:13" ht="22.5">
      <c r="B74" s="15">
        <v>62</v>
      </c>
      <c r="C74" s="15"/>
      <c r="D74" s="21" t="str">
        <f t="shared" si="0"/>
        <v/>
      </c>
      <c r="E74" s="60"/>
      <c r="F74" s="110" t="str">
        <f t="shared" si="1"/>
        <v/>
      </c>
      <c r="G74" s="60"/>
      <c r="H74" s="60"/>
      <c r="I74" s="60"/>
      <c r="J74" s="88"/>
      <c r="K74" s="89"/>
      <c r="L74" s="90"/>
      <c r="M74" s="10" t="b">
        <f t="shared" si="2"/>
        <v>0</v>
      </c>
    </row>
    <row r="75" spans="2:13" ht="22.5">
      <c r="B75" s="15">
        <v>63</v>
      </c>
      <c r="C75" s="15"/>
      <c r="D75" s="21" t="str">
        <f t="shared" si="0"/>
        <v/>
      </c>
      <c r="E75" s="60"/>
      <c r="F75" s="110" t="str">
        <f t="shared" si="1"/>
        <v/>
      </c>
      <c r="G75" s="60"/>
      <c r="H75" s="60"/>
      <c r="I75" s="60"/>
      <c r="J75" s="88"/>
      <c r="K75" s="89"/>
      <c r="L75" s="90"/>
      <c r="M75" s="10" t="b">
        <f t="shared" si="2"/>
        <v>0</v>
      </c>
    </row>
    <row r="76" spans="2:13" ht="22.5">
      <c r="B76" s="15">
        <v>64</v>
      </c>
      <c r="C76" s="15"/>
      <c r="D76" s="21" t="str">
        <f t="shared" si="0"/>
        <v/>
      </c>
      <c r="E76" s="60"/>
      <c r="F76" s="110" t="str">
        <f t="shared" si="1"/>
        <v/>
      </c>
      <c r="G76" s="60"/>
      <c r="H76" s="60"/>
      <c r="I76" s="60"/>
      <c r="J76" s="88"/>
      <c r="K76" s="89"/>
      <c r="L76" s="90"/>
      <c r="M76" s="10" t="b">
        <f t="shared" si="2"/>
        <v>0</v>
      </c>
    </row>
    <row r="77" spans="2:13" ht="22.5">
      <c r="B77" s="15">
        <v>65</v>
      </c>
      <c r="C77" s="15"/>
      <c r="D77" s="21" t="str">
        <f t="shared" si="0"/>
        <v/>
      </c>
      <c r="E77" s="60"/>
      <c r="F77" s="110" t="str">
        <f t="shared" si="1"/>
        <v/>
      </c>
      <c r="G77" s="60"/>
      <c r="H77" s="60"/>
      <c r="I77" s="60"/>
      <c r="J77" s="88"/>
      <c r="K77" s="89"/>
      <c r="L77" s="90"/>
      <c r="M77" s="10" t="b">
        <f t="shared" ref="M77:M140" si="3">IF(COUNTA(E77,G77)=0,FALSE,TRUE)</f>
        <v>0</v>
      </c>
    </row>
    <row r="78" spans="2:13" ht="22.5">
      <c r="B78" s="15">
        <v>66</v>
      </c>
      <c r="C78" s="15"/>
      <c r="D78" s="21" t="str">
        <f t="shared" ref="D78:D141" si="4">IF(LEN(E78)=0,"",IF((AND(ISNUMBER(VALUE(E78)),LEN(E78)=12)),3,IF(AND(ISNUMBER(VALUE(E78)),(LEN(E78)=10)),1,IF(AND(OR((LEFT(E78)="R"),(LEFT(E78)="R")),(ISNUMBER(VALUE(RIGHT(E78,9)))),(LEN(E78)=10)),2,FALSE))))</f>
        <v/>
      </c>
      <c r="E78" s="60"/>
      <c r="F78" s="110" t="str">
        <f t="shared" ref="F78:F141" si="5">IF(D78=FALSE,"←ご確認ください",IF(OR(D78=1,D78=2,D78=3),"形式OK",""))</f>
        <v/>
      </c>
      <c r="G78" s="60"/>
      <c r="H78" s="60"/>
      <c r="I78" s="60"/>
      <c r="J78" s="88"/>
      <c r="K78" s="89"/>
      <c r="L78" s="90"/>
      <c r="M78" s="10" t="b">
        <f t="shared" si="3"/>
        <v>0</v>
      </c>
    </row>
    <row r="79" spans="2:13" ht="22.5">
      <c r="B79" s="15">
        <v>67</v>
      </c>
      <c r="C79" s="15"/>
      <c r="D79" s="21" t="str">
        <f t="shared" si="4"/>
        <v/>
      </c>
      <c r="E79" s="60"/>
      <c r="F79" s="110" t="str">
        <f t="shared" si="5"/>
        <v/>
      </c>
      <c r="G79" s="60"/>
      <c r="H79" s="60"/>
      <c r="I79" s="60"/>
      <c r="J79" s="88"/>
      <c r="K79" s="89"/>
      <c r="L79" s="90"/>
      <c r="M79" s="10" t="b">
        <f t="shared" si="3"/>
        <v>0</v>
      </c>
    </row>
    <row r="80" spans="2:13" ht="22.5">
      <c r="B80" s="15">
        <v>68</v>
      </c>
      <c r="C80" s="15"/>
      <c r="D80" s="21" t="str">
        <f t="shared" si="4"/>
        <v/>
      </c>
      <c r="E80" s="60"/>
      <c r="F80" s="110" t="str">
        <f t="shared" si="5"/>
        <v/>
      </c>
      <c r="G80" s="60"/>
      <c r="H80" s="60"/>
      <c r="I80" s="60"/>
      <c r="J80" s="88"/>
      <c r="K80" s="89"/>
      <c r="L80" s="90"/>
      <c r="M80" s="10" t="b">
        <f t="shared" si="3"/>
        <v>0</v>
      </c>
    </row>
    <row r="81" spans="2:13" ht="22.5">
      <c r="B81" s="15">
        <v>69</v>
      </c>
      <c r="C81" s="15"/>
      <c r="D81" s="21" t="str">
        <f t="shared" si="4"/>
        <v/>
      </c>
      <c r="E81" s="60"/>
      <c r="F81" s="110" t="str">
        <f t="shared" si="5"/>
        <v/>
      </c>
      <c r="G81" s="60"/>
      <c r="H81" s="60"/>
      <c r="I81" s="60"/>
      <c r="J81" s="88"/>
      <c r="K81" s="89"/>
      <c r="L81" s="90"/>
      <c r="M81" s="10" t="b">
        <f t="shared" si="3"/>
        <v>0</v>
      </c>
    </row>
    <row r="82" spans="2:13" ht="22.5">
      <c r="B82" s="15">
        <v>70</v>
      </c>
      <c r="C82" s="15"/>
      <c r="D82" s="21" t="str">
        <f t="shared" si="4"/>
        <v/>
      </c>
      <c r="E82" s="60"/>
      <c r="F82" s="110" t="str">
        <f t="shared" si="5"/>
        <v/>
      </c>
      <c r="G82" s="60"/>
      <c r="H82" s="60"/>
      <c r="I82" s="60"/>
      <c r="J82" s="88"/>
      <c r="K82" s="89"/>
      <c r="L82" s="90"/>
      <c r="M82" s="10" t="b">
        <f t="shared" si="3"/>
        <v>0</v>
      </c>
    </row>
    <row r="83" spans="2:13" ht="22.5">
      <c r="B83" s="15">
        <v>71</v>
      </c>
      <c r="C83" s="15"/>
      <c r="D83" s="21" t="str">
        <f t="shared" si="4"/>
        <v/>
      </c>
      <c r="E83" s="60"/>
      <c r="F83" s="110" t="str">
        <f t="shared" si="5"/>
        <v/>
      </c>
      <c r="G83" s="60"/>
      <c r="H83" s="60"/>
      <c r="I83" s="60"/>
      <c r="J83" s="88"/>
      <c r="K83" s="89"/>
      <c r="L83" s="90"/>
      <c r="M83" s="10" t="b">
        <f t="shared" si="3"/>
        <v>0</v>
      </c>
    </row>
    <row r="84" spans="2:13" ht="22.5">
      <c r="B84" s="15">
        <v>72</v>
      </c>
      <c r="C84" s="15"/>
      <c r="D84" s="21" t="str">
        <f t="shared" si="4"/>
        <v/>
      </c>
      <c r="E84" s="60"/>
      <c r="F84" s="110" t="str">
        <f t="shared" si="5"/>
        <v/>
      </c>
      <c r="G84" s="60"/>
      <c r="H84" s="60"/>
      <c r="I84" s="60"/>
      <c r="J84" s="88"/>
      <c r="K84" s="89"/>
      <c r="L84" s="90"/>
      <c r="M84" s="10" t="b">
        <f t="shared" si="3"/>
        <v>0</v>
      </c>
    </row>
    <row r="85" spans="2:13" ht="22.5">
      <c r="B85" s="15">
        <v>73</v>
      </c>
      <c r="C85" s="15"/>
      <c r="D85" s="21" t="str">
        <f t="shared" si="4"/>
        <v/>
      </c>
      <c r="E85" s="60"/>
      <c r="F85" s="110" t="str">
        <f t="shared" si="5"/>
        <v/>
      </c>
      <c r="G85" s="60"/>
      <c r="H85" s="60"/>
      <c r="I85" s="60"/>
      <c r="J85" s="88"/>
      <c r="K85" s="89"/>
      <c r="L85" s="90"/>
      <c r="M85" s="10" t="b">
        <f t="shared" si="3"/>
        <v>0</v>
      </c>
    </row>
    <row r="86" spans="2:13" ht="22.5">
      <c r="B86" s="15">
        <v>74</v>
      </c>
      <c r="C86" s="15"/>
      <c r="D86" s="21" t="str">
        <f t="shared" si="4"/>
        <v/>
      </c>
      <c r="E86" s="60"/>
      <c r="F86" s="110" t="str">
        <f t="shared" si="5"/>
        <v/>
      </c>
      <c r="G86" s="60"/>
      <c r="H86" s="60"/>
      <c r="I86" s="60"/>
      <c r="J86" s="88"/>
      <c r="K86" s="89"/>
      <c r="L86" s="90"/>
      <c r="M86" s="10" t="b">
        <f t="shared" si="3"/>
        <v>0</v>
      </c>
    </row>
    <row r="87" spans="2:13" ht="22.5">
      <c r="B87" s="15">
        <v>75</v>
      </c>
      <c r="C87" s="15"/>
      <c r="D87" s="21" t="str">
        <f t="shared" si="4"/>
        <v/>
      </c>
      <c r="E87" s="60"/>
      <c r="F87" s="110" t="str">
        <f t="shared" si="5"/>
        <v/>
      </c>
      <c r="G87" s="60"/>
      <c r="H87" s="60"/>
      <c r="I87" s="60"/>
      <c r="J87" s="88"/>
      <c r="K87" s="89"/>
      <c r="L87" s="90"/>
      <c r="M87" s="10" t="b">
        <f t="shared" si="3"/>
        <v>0</v>
      </c>
    </row>
    <row r="88" spans="2:13" ht="22.5">
      <c r="B88" s="15">
        <v>76</v>
      </c>
      <c r="C88" s="15"/>
      <c r="D88" s="21" t="str">
        <f t="shared" si="4"/>
        <v/>
      </c>
      <c r="E88" s="60"/>
      <c r="F88" s="110" t="str">
        <f t="shared" si="5"/>
        <v/>
      </c>
      <c r="G88" s="60"/>
      <c r="H88" s="60"/>
      <c r="I88" s="60"/>
      <c r="J88" s="88"/>
      <c r="K88" s="89"/>
      <c r="L88" s="90"/>
      <c r="M88" s="10" t="b">
        <f t="shared" si="3"/>
        <v>0</v>
      </c>
    </row>
    <row r="89" spans="2:13" ht="22.5">
      <c r="B89" s="15">
        <v>77</v>
      </c>
      <c r="C89" s="15"/>
      <c r="D89" s="21" t="str">
        <f t="shared" si="4"/>
        <v/>
      </c>
      <c r="E89" s="60"/>
      <c r="F89" s="110" t="str">
        <f t="shared" si="5"/>
        <v/>
      </c>
      <c r="G89" s="60"/>
      <c r="H89" s="60"/>
      <c r="I89" s="60"/>
      <c r="J89" s="88"/>
      <c r="K89" s="89"/>
      <c r="L89" s="90"/>
      <c r="M89" s="10" t="b">
        <f t="shared" si="3"/>
        <v>0</v>
      </c>
    </row>
    <row r="90" spans="2:13" ht="22.5">
      <c r="B90" s="15">
        <v>78</v>
      </c>
      <c r="C90" s="15"/>
      <c r="D90" s="21" t="str">
        <f t="shared" si="4"/>
        <v/>
      </c>
      <c r="E90" s="60"/>
      <c r="F90" s="110" t="str">
        <f t="shared" si="5"/>
        <v/>
      </c>
      <c r="G90" s="60"/>
      <c r="H90" s="60"/>
      <c r="I90" s="60"/>
      <c r="J90" s="88"/>
      <c r="K90" s="89"/>
      <c r="L90" s="90"/>
      <c r="M90" s="10" t="b">
        <f t="shared" si="3"/>
        <v>0</v>
      </c>
    </row>
    <row r="91" spans="2:13" ht="22.5">
      <c r="B91" s="15">
        <v>79</v>
      </c>
      <c r="C91" s="15"/>
      <c r="D91" s="21" t="str">
        <f t="shared" si="4"/>
        <v/>
      </c>
      <c r="E91" s="60"/>
      <c r="F91" s="110" t="str">
        <f t="shared" si="5"/>
        <v/>
      </c>
      <c r="G91" s="60"/>
      <c r="H91" s="60"/>
      <c r="I91" s="60"/>
      <c r="J91" s="88"/>
      <c r="K91" s="89"/>
      <c r="L91" s="90"/>
      <c r="M91" s="10" t="b">
        <f t="shared" si="3"/>
        <v>0</v>
      </c>
    </row>
    <row r="92" spans="2:13" ht="22.5">
      <c r="B92" s="15">
        <v>80</v>
      </c>
      <c r="C92" s="15"/>
      <c r="D92" s="21" t="str">
        <f t="shared" si="4"/>
        <v/>
      </c>
      <c r="E92" s="60"/>
      <c r="F92" s="110" t="str">
        <f t="shared" si="5"/>
        <v/>
      </c>
      <c r="G92" s="60"/>
      <c r="H92" s="60"/>
      <c r="I92" s="60"/>
      <c r="J92" s="88"/>
      <c r="K92" s="89"/>
      <c r="L92" s="90"/>
      <c r="M92" s="10" t="b">
        <f t="shared" si="3"/>
        <v>0</v>
      </c>
    </row>
    <row r="93" spans="2:13" ht="22.5">
      <c r="B93" s="15">
        <v>81</v>
      </c>
      <c r="C93" s="15"/>
      <c r="D93" s="21" t="str">
        <f t="shared" si="4"/>
        <v/>
      </c>
      <c r="E93" s="60"/>
      <c r="F93" s="110" t="str">
        <f t="shared" si="5"/>
        <v/>
      </c>
      <c r="G93" s="60"/>
      <c r="H93" s="60"/>
      <c r="I93" s="60"/>
      <c r="J93" s="88"/>
      <c r="K93" s="89"/>
      <c r="L93" s="90"/>
      <c r="M93" s="10" t="b">
        <f t="shared" si="3"/>
        <v>0</v>
      </c>
    </row>
    <row r="94" spans="2:13" ht="22.5">
      <c r="B94" s="15">
        <v>82</v>
      </c>
      <c r="C94" s="15"/>
      <c r="D94" s="21" t="str">
        <f t="shared" si="4"/>
        <v/>
      </c>
      <c r="E94" s="60"/>
      <c r="F94" s="110" t="str">
        <f t="shared" si="5"/>
        <v/>
      </c>
      <c r="G94" s="60"/>
      <c r="H94" s="60"/>
      <c r="I94" s="60"/>
      <c r="J94" s="88"/>
      <c r="K94" s="89"/>
      <c r="L94" s="90"/>
      <c r="M94" s="10" t="b">
        <f t="shared" si="3"/>
        <v>0</v>
      </c>
    </row>
    <row r="95" spans="2:13" ht="22.5">
      <c r="B95" s="15">
        <v>83</v>
      </c>
      <c r="C95" s="15"/>
      <c r="D95" s="21" t="str">
        <f t="shared" si="4"/>
        <v/>
      </c>
      <c r="E95" s="60"/>
      <c r="F95" s="110" t="str">
        <f t="shared" si="5"/>
        <v/>
      </c>
      <c r="G95" s="60"/>
      <c r="H95" s="60"/>
      <c r="I95" s="60"/>
      <c r="J95" s="88"/>
      <c r="K95" s="89"/>
      <c r="L95" s="90"/>
      <c r="M95" s="10" t="b">
        <f t="shared" si="3"/>
        <v>0</v>
      </c>
    </row>
    <row r="96" spans="2:13" ht="22.5">
      <c r="B96" s="15">
        <v>84</v>
      </c>
      <c r="C96" s="15"/>
      <c r="D96" s="21" t="str">
        <f t="shared" si="4"/>
        <v/>
      </c>
      <c r="E96" s="60"/>
      <c r="F96" s="110" t="str">
        <f t="shared" si="5"/>
        <v/>
      </c>
      <c r="G96" s="60"/>
      <c r="H96" s="60"/>
      <c r="I96" s="60"/>
      <c r="J96" s="88"/>
      <c r="K96" s="89"/>
      <c r="L96" s="90"/>
      <c r="M96" s="10" t="b">
        <f t="shared" si="3"/>
        <v>0</v>
      </c>
    </row>
    <row r="97" spans="2:13" ht="22.5">
      <c r="B97" s="15">
        <v>85</v>
      </c>
      <c r="C97" s="15"/>
      <c r="D97" s="21" t="str">
        <f t="shared" si="4"/>
        <v/>
      </c>
      <c r="E97" s="60"/>
      <c r="F97" s="110" t="str">
        <f t="shared" si="5"/>
        <v/>
      </c>
      <c r="G97" s="60"/>
      <c r="H97" s="60"/>
      <c r="I97" s="60"/>
      <c r="J97" s="88"/>
      <c r="K97" s="89"/>
      <c r="L97" s="90"/>
      <c r="M97" s="10" t="b">
        <f t="shared" si="3"/>
        <v>0</v>
      </c>
    </row>
    <row r="98" spans="2:13" ht="22.5">
      <c r="B98" s="15">
        <v>86</v>
      </c>
      <c r="C98" s="15"/>
      <c r="D98" s="21" t="str">
        <f t="shared" si="4"/>
        <v/>
      </c>
      <c r="E98" s="60"/>
      <c r="F98" s="110" t="str">
        <f t="shared" si="5"/>
        <v/>
      </c>
      <c r="G98" s="60"/>
      <c r="H98" s="60"/>
      <c r="I98" s="60"/>
      <c r="J98" s="88"/>
      <c r="K98" s="89"/>
      <c r="L98" s="90"/>
      <c r="M98" s="10" t="b">
        <f t="shared" si="3"/>
        <v>0</v>
      </c>
    </row>
    <row r="99" spans="2:13" ht="22.5">
      <c r="B99" s="15">
        <v>87</v>
      </c>
      <c r="C99" s="15"/>
      <c r="D99" s="21" t="str">
        <f t="shared" si="4"/>
        <v/>
      </c>
      <c r="E99" s="60"/>
      <c r="F99" s="110" t="str">
        <f t="shared" si="5"/>
        <v/>
      </c>
      <c r="G99" s="60"/>
      <c r="H99" s="60"/>
      <c r="I99" s="60"/>
      <c r="J99" s="88"/>
      <c r="K99" s="89"/>
      <c r="L99" s="90"/>
      <c r="M99" s="10" t="b">
        <f t="shared" si="3"/>
        <v>0</v>
      </c>
    </row>
    <row r="100" spans="2:13" ht="22.5">
      <c r="B100" s="15">
        <v>88</v>
      </c>
      <c r="C100" s="15"/>
      <c r="D100" s="21" t="str">
        <f t="shared" si="4"/>
        <v/>
      </c>
      <c r="E100" s="60"/>
      <c r="F100" s="110" t="str">
        <f t="shared" si="5"/>
        <v/>
      </c>
      <c r="G100" s="60"/>
      <c r="H100" s="60"/>
      <c r="I100" s="60"/>
      <c r="J100" s="88"/>
      <c r="K100" s="89"/>
      <c r="L100" s="90"/>
      <c r="M100" s="10" t="b">
        <f t="shared" si="3"/>
        <v>0</v>
      </c>
    </row>
    <row r="101" spans="2:13" ht="22.5">
      <c r="B101" s="15">
        <v>89</v>
      </c>
      <c r="C101" s="15"/>
      <c r="D101" s="21" t="str">
        <f t="shared" si="4"/>
        <v/>
      </c>
      <c r="E101" s="60"/>
      <c r="F101" s="110" t="str">
        <f t="shared" si="5"/>
        <v/>
      </c>
      <c r="G101" s="60"/>
      <c r="H101" s="60"/>
      <c r="I101" s="60"/>
      <c r="J101" s="88"/>
      <c r="K101" s="89"/>
      <c r="L101" s="90"/>
      <c r="M101" s="10" t="b">
        <f t="shared" si="3"/>
        <v>0</v>
      </c>
    </row>
    <row r="102" spans="2:13" ht="22.5">
      <c r="B102" s="15">
        <v>90</v>
      </c>
      <c r="C102" s="15"/>
      <c r="D102" s="21" t="str">
        <f t="shared" si="4"/>
        <v/>
      </c>
      <c r="E102" s="60"/>
      <c r="F102" s="110" t="str">
        <f t="shared" si="5"/>
        <v/>
      </c>
      <c r="G102" s="60"/>
      <c r="H102" s="60"/>
      <c r="I102" s="60"/>
      <c r="J102" s="88"/>
      <c r="K102" s="89"/>
      <c r="L102" s="90"/>
      <c r="M102" s="10" t="b">
        <f t="shared" si="3"/>
        <v>0</v>
      </c>
    </row>
    <row r="103" spans="2:13" ht="22.5">
      <c r="B103" s="15">
        <v>91</v>
      </c>
      <c r="C103" s="15"/>
      <c r="D103" s="21" t="str">
        <f t="shared" si="4"/>
        <v/>
      </c>
      <c r="E103" s="60"/>
      <c r="F103" s="110" t="str">
        <f t="shared" si="5"/>
        <v/>
      </c>
      <c r="G103" s="60"/>
      <c r="H103" s="60"/>
      <c r="I103" s="60"/>
      <c r="J103" s="88"/>
      <c r="K103" s="89"/>
      <c r="L103" s="90"/>
      <c r="M103" s="10" t="b">
        <f t="shared" si="3"/>
        <v>0</v>
      </c>
    </row>
    <row r="104" spans="2:13" ht="22.5">
      <c r="B104" s="15">
        <v>92</v>
      </c>
      <c r="C104" s="15"/>
      <c r="D104" s="21" t="str">
        <f t="shared" si="4"/>
        <v/>
      </c>
      <c r="E104" s="60"/>
      <c r="F104" s="110" t="str">
        <f t="shared" si="5"/>
        <v/>
      </c>
      <c r="G104" s="60"/>
      <c r="H104" s="60"/>
      <c r="I104" s="60"/>
      <c r="J104" s="88"/>
      <c r="K104" s="89"/>
      <c r="L104" s="90"/>
      <c r="M104" s="10" t="b">
        <f t="shared" si="3"/>
        <v>0</v>
      </c>
    </row>
    <row r="105" spans="2:13" ht="22.5">
      <c r="B105" s="15">
        <v>93</v>
      </c>
      <c r="C105" s="15"/>
      <c r="D105" s="21" t="str">
        <f t="shared" si="4"/>
        <v/>
      </c>
      <c r="E105" s="60"/>
      <c r="F105" s="110" t="str">
        <f t="shared" si="5"/>
        <v/>
      </c>
      <c r="G105" s="60"/>
      <c r="H105" s="60"/>
      <c r="I105" s="60"/>
      <c r="J105" s="88"/>
      <c r="K105" s="89"/>
      <c r="L105" s="90"/>
      <c r="M105" s="10" t="b">
        <f t="shared" si="3"/>
        <v>0</v>
      </c>
    </row>
    <row r="106" spans="2:13" ht="22.5">
      <c r="B106" s="15">
        <v>94</v>
      </c>
      <c r="C106" s="15"/>
      <c r="D106" s="21" t="str">
        <f t="shared" si="4"/>
        <v/>
      </c>
      <c r="E106" s="60"/>
      <c r="F106" s="110" t="str">
        <f t="shared" si="5"/>
        <v/>
      </c>
      <c r="G106" s="60"/>
      <c r="H106" s="60"/>
      <c r="I106" s="60"/>
      <c r="J106" s="88"/>
      <c r="K106" s="89"/>
      <c r="L106" s="90"/>
      <c r="M106" s="10" t="b">
        <f t="shared" si="3"/>
        <v>0</v>
      </c>
    </row>
    <row r="107" spans="2:13" ht="22.5">
      <c r="B107" s="15">
        <v>95</v>
      </c>
      <c r="C107" s="15"/>
      <c r="D107" s="21" t="str">
        <f t="shared" si="4"/>
        <v/>
      </c>
      <c r="E107" s="60"/>
      <c r="F107" s="110" t="str">
        <f t="shared" si="5"/>
        <v/>
      </c>
      <c r="G107" s="60"/>
      <c r="H107" s="60"/>
      <c r="I107" s="60"/>
      <c r="J107" s="88"/>
      <c r="K107" s="89"/>
      <c r="L107" s="90"/>
      <c r="M107" s="10" t="b">
        <f t="shared" si="3"/>
        <v>0</v>
      </c>
    </row>
    <row r="108" spans="2:13" ht="22.5">
      <c r="B108" s="15">
        <v>96</v>
      </c>
      <c r="C108" s="15"/>
      <c r="D108" s="21" t="str">
        <f t="shared" si="4"/>
        <v/>
      </c>
      <c r="E108" s="60"/>
      <c r="F108" s="110" t="str">
        <f t="shared" si="5"/>
        <v/>
      </c>
      <c r="G108" s="60"/>
      <c r="H108" s="60"/>
      <c r="I108" s="60"/>
      <c r="J108" s="88"/>
      <c r="K108" s="89"/>
      <c r="L108" s="90"/>
      <c r="M108" s="10" t="b">
        <f t="shared" si="3"/>
        <v>0</v>
      </c>
    </row>
    <row r="109" spans="2:13" ht="22.5">
      <c r="B109" s="15">
        <v>97</v>
      </c>
      <c r="C109" s="15"/>
      <c r="D109" s="21" t="str">
        <f t="shared" si="4"/>
        <v/>
      </c>
      <c r="E109" s="60"/>
      <c r="F109" s="110" t="str">
        <f t="shared" si="5"/>
        <v/>
      </c>
      <c r="G109" s="60"/>
      <c r="H109" s="60"/>
      <c r="I109" s="60"/>
      <c r="J109" s="88"/>
      <c r="K109" s="89"/>
      <c r="L109" s="90"/>
      <c r="M109" s="10" t="b">
        <f t="shared" si="3"/>
        <v>0</v>
      </c>
    </row>
    <row r="110" spans="2:13" ht="22.5">
      <c r="B110" s="15">
        <v>98</v>
      </c>
      <c r="C110" s="15"/>
      <c r="D110" s="21" t="str">
        <f t="shared" si="4"/>
        <v/>
      </c>
      <c r="E110" s="60"/>
      <c r="F110" s="110" t="str">
        <f t="shared" si="5"/>
        <v/>
      </c>
      <c r="G110" s="60"/>
      <c r="H110" s="60"/>
      <c r="I110" s="60"/>
      <c r="J110" s="88"/>
      <c r="K110" s="89"/>
      <c r="L110" s="90"/>
      <c r="M110" s="10" t="b">
        <f t="shared" si="3"/>
        <v>0</v>
      </c>
    </row>
    <row r="111" spans="2:13" ht="22.5">
      <c r="B111" s="15">
        <v>99</v>
      </c>
      <c r="C111" s="15"/>
      <c r="D111" s="21" t="str">
        <f t="shared" si="4"/>
        <v/>
      </c>
      <c r="E111" s="60"/>
      <c r="F111" s="110" t="str">
        <f t="shared" si="5"/>
        <v/>
      </c>
      <c r="G111" s="60"/>
      <c r="H111" s="60"/>
      <c r="I111" s="60"/>
      <c r="J111" s="88"/>
      <c r="K111" s="89"/>
      <c r="L111" s="90"/>
      <c r="M111" s="10" t="b">
        <f t="shared" si="3"/>
        <v>0</v>
      </c>
    </row>
    <row r="112" spans="2:13" ht="22.5">
      <c r="B112" s="15">
        <v>100</v>
      </c>
      <c r="C112" s="15"/>
      <c r="D112" s="21" t="str">
        <f t="shared" si="4"/>
        <v/>
      </c>
      <c r="E112" s="60"/>
      <c r="F112" s="110" t="str">
        <f t="shared" si="5"/>
        <v/>
      </c>
      <c r="G112" s="60"/>
      <c r="H112" s="60"/>
      <c r="I112" s="60"/>
      <c r="J112" s="88"/>
      <c r="K112" s="89"/>
      <c r="L112" s="90"/>
      <c r="M112" s="10" t="b">
        <f t="shared" si="3"/>
        <v>0</v>
      </c>
    </row>
    <row r="113" spans="2:13" ht="22.5">
      <c r="B113" s="15">
        <v>101</v>
      </c>
      <c r="C113" s="15"/>
      <c r="D113" s="21" t="str">
        <f t="shared" si="4"/>
        <v/>
      </c>
      <c r="E113" s="60"/>
      <c r="F113" s="110" t="str">
        <f t="shared" si="5"/>
        <v/>
      </c>
      <c r="G113" s="60"/>
      <c r="H113" s="60"/>
      <c r="I113" s="60"/>
      <c r="J113" s="88"/>
      <c r="K113" s="89"/>
      <c r="L113" s="90"/>
      <c r="M113" s="10" t="b">
        <f t="shared" si="3"/>
        <v>0</v>
      </c>
    </row>
    <row r="114" spans="2:13" ht="22.5">
      <c r="B114" s="15">
        <v>102</v>
      </c>
      <c r="C114" s="15"/>
      <c r="D114" s="21" t="str">
        <f t="shared" si="4"/>
        <v/>
      </c>
      <c r="E114" s="60"/>
      <c r="F114" s="110" t="str">
        <f t="shared" si="5"/>
        <v/>
      </c>
      <c r="G114" s="60"/>
      <c r="H114" s="60"/>
      <c r="I114" s="60"/>
      <c r="J114" s="88"/>
      <c r="K114" s="89"/>
      <c r="L114" s="90"/>
      <c r="M114" s="10" t="b">
        <f t="shared" si="3"/>
        <v>0</v>
      </c>
    </row>
    <row r="115" spans="2:13" ht="22.5">
      <c r="B115" s="15">
        <v>103</v>
      </c>
      <c r="C115" s="15"/>
      <c r="D115" s="21" t="str">
        <f t="shared" si="4"/>
        <v/>
      </c>
      <c r="E115" s="60"/>
      <c r="F115" s="110" t="str">
        <f t="shared" si="5"/>
        <v/>
      </c>
      <c r="G115" s="60"/>
      <c r="H115" s="60"/>
      <c r="I115" s="60"/>
      <c r="J115" s="88"/>
      <c r="K115" s="89"/>
      <c r="L115" s="90"/>
      <c r="M115" s="10" t="b">
        <f t="shared" si="3"/>
        <v>0</v>
      </c>
    </row>
    <row r="116" spans="2:13" ht="22.5">
      <c r="B116" s="15">
        <v>104</v>
      </c>
      <c r="C116" s="15"/>
      <c r="D116" s="21" t="str">
        <f t="shared" si="4"/>
        <v/>
      </c>
      <c r="E116" s="60"/>
      <c r="F116" s="110" t="str">
        <f t="shared" si="5"/>
        <v/>
      </c>
      <c r="G116" s="60"/>
      <c r="H116" s="60"/>
      <c r="I116" s="60"/>
      <c r="J116" s="88"/>
      <c r="K116" s="89"/>
      <c r="L116" s="90"/>
      <c r="M116" s="10" t="b">
        <f t="shared" si="3"/>
        <v>0</v>
      </c>
    </row>
    <row r="117" spans="2:13" ht="22.5">
      <c r="B117" s="15">
        <v>105</v>
      </c>
      <c r="C117" s="15"/>
      <c r="D117" s="21" t="str">
        <f t="shared" si="4"/>
        <v/>
      </c>
      <c r="E117" s="60"/>
      <c r="F117" s="110" t="str">
        <f t="shared" si="5"/>
        <v/>
      </c>
      <c r="G117" s="60"/>
      <c r="H117" s="60"/>
      <c r="I117" s="60"/>
      <c r="J117" s="88"/>
      <c r="K117" s="89"/>
      <c r="L117" s="90"/>
      <c r="M117" s="10" t="b">
        <f t="shared" si="3"/>
        <v>0</v>
      </c>
    </row>
    <row r="118" spans="2:13" ht="22.5">
      <c r="B118" s="15">
        <v>106</v>
      </c>
      <c r="C118" s="15"/>
      <c r="D118" s="21" t="str">
        <f t="shared" si="4"/>
        <v/>
      </c>
      <c r="E118" s="60"/>
      <c r="F118" s="110" t="str">
        <f t="shared" si="5"/>
        <v/>
      </c>
      <c r="G118" s="60"/>
      <c r="H118" s="60"/>
      <c r="I118" s="60"/>
      <c r="J118" s="88"/>
      <c r="K118" s="89"/>
      <c r="L118" s="90"/>
      <c r="M118" s="10" t="b">
        <f t="shared" si="3"/>
        <v>0</v>
      </c>
    </row>
    <row r="119" spans="2:13" ht="22.5">
      <c r="B119" s="15">
        <v>107</v>
      </c>
      <c r="C119" s="15"/>
      <c r="D119" s="21" t="str">
        <f t="shared" si="4"/>
        <v/>
      </c>
      <c r="E119" s="60"/>
      <c r="F119" s="110" t="str">
        <f t="shared" si="5"/>
        <v/>
      </c>
      <c r="G119" s="60"/>
      <c r="H119" s="60"/>
      <c r="I119" s="60"/>
      <c r="J119" s="88"/>
      <c r="K119" s="89"/>
      <c r="L119" s="90"/>
      <c r="M119" s="10" t="b">
        <f t="shared" si="3"/>
        <v>0</v>
      </c>
    </row>
    <row r="120" spans="2:13" ht="22.5">
      <c r="B120" s="15">
        <v>108</v>
      </c>
      <c r="C120" s="15"/>
      <c r="D120" s="21" t="str">
        <f t="shared" si="4"/>
        <v/>
      </c>
      <c r="E120" s="60"/>
      <c r="F120" s="110" t="str">
        <f t="shared" si="5"/>
        <v/>
      </c>
      <c r="G120" s="60"/>
      <c r="H120" s="60"/>
      <c r="I120" s="60"/>
      <c r="J120" s="88"/>
      <c r="K120" s="89"/>
      <c r="L120" s="90"/>
      <c r="M120" s="10" t="b">
        <f t="shared" si="3"/>
        <v>0</v>
      </c>
    </row>
    <row r="121" spans="2:13" ht="22.5">
      <c r="B121" s="15">
        <v>109</v>
      </c>
      <c r="C121" s="15"/>
      <c r="D121" s="21" t="str">
        <f t="shared" si="4"/>
        <v/>
      </c>
      <c r="E121" s="60"/>
      <c r="F121" s="110" t="str">
        <f t="shared" si="5"/>
        <v/>
      </c>
      <c r="G121" s="60"/>
      <c r="H121" s="60"/>
      <c r="I121" s="60"/>
      <c r="J121" s="88"/>
      <c r="K121" s="89"/>
      <c r="L121" s="90"/>
      <c r="M121" s="10" t="b">
        <f t="shared" si="3"/>
        <v>0</v>
      </c>
    </row>
    <row r="122" spans="2:13" ht="22.5">
      <c r="B122" s="15">
        <v>110</v>
      </c>
      <c r="C122" s="15"/>
      <c r="D122" s="21" t="str">
        <f t="shared" si="4"/>
        <v/>
      </c>
      <c r="E122" s="60"/>
      <c r="F122" s="110" t="str">
        <f t="shared" si="5"/>
        <v/>
      </c>
      <c r="G122" s="60"/>
      <c r="H122" s="60"/>
      <c r="I122" s="60"/>
      <c r="J122" s="88"/>
      <c r="K122" s="89"/>
      <c r="L122" s="90"/>
      <c r="M122" s="10" t="b">
        <f t="shared" si="3"/>
        <v>0</v>
      </c>
    </row>
    <row r="123" spans="2:13" ht="22.5">
      <c r="B123" s="15">
        <v>111</v>
      </c>
      <c r="C123" s="15"/>
      <c r="D123" s="21" t="str">
        <f t="shared" si="4"/>
        <v/>
      </c>
      <c r="E123" s="60"/>
      <c r="F123" s="110" t="str">
        <f t="shared" si="5"/>
        <v/>
      </c>
      <c r="G123" s="60"/>
      <c r="H123" s="60"/>
      <c r="I123" s="60"/>
      <c r="J123" s="88"/>
      <c r="K123" s="89"/>
      <c r="L123" s="90"/>
      <c r="M123" s="10" t="b">
        <f t="shared" si="3"/>
        <v>0</v>
      </c>
    </row>
    <row r="124" spans="2:13" ht="22.5">
      <c r="B124" s="15">
        <v>112</v>
      </c>
      <c r="C124" s="15"/>
      <c r="D124" s="21" t="str">
        <f t="shared" si="4"/>
        <v/>
      </c>
      <c r="E124" s="60"/>
      <c r="F124" s="110" t="str">
        <f t="shared" si="5"/>
        <v/>
      </c>
      <c r="G124" s="60"/>
      <c r="H124" s="60"/>
      <c r="I124" s="60"/>
      <c r="J124" s="88"/>
      <c r="K124" s="89"/>
      <c r="L124" s="90"/>
      <c r="M124" s="10" t="b">
        <f t="shared" si="3"/>
        <v>0</v>
      </c>
    </row>
    <row r="125" spans="2:13" ht="22.5">
      <c r="B125" s="15">
        <v>113</v>
      </c>
      <c r="C125" s="15"/>
      <c r="D125" s="21" t="str">
        <f t="shared" si="4"/>
        <v/>
      </c>
      <c r="E125" s="60"/>
      <c r="F125" s="110" t="str">
        <f t="shared" si="5"/>
        <v/>
      </c>
      <c r="G125" s="60"/>
      <c r="H125" s="60"/>
      <c r="I125" s="60"/>
      <c r="J125" s="88"/>
      <c r="K125" s="89"/>
      <c r="L125" s="90"/>
      <c r="M125" s="10" t="b">
        <f t="shared" si="3"/>
        <v>0</v>
      </c>
    </row>
    <row r="126" spans="2:13" ht="22.5">
      <c r="B126" s="15">
        <v>114</v>
      </c>
      <c r="C126" s="15"/>
      <c r="D126" s="21" t="str">
        <f t="shared" si="4"/>
        <v/>
      </c>
      <c r="E126" s="60"/>
      <c r="F126" s="110" t="str">
        <f t="shared" si="5"/>
        <v/>
      </c>
      <c r="G126" s="60"/>
      <c r="H126" s="60"/>
      <c r="I126" s="60"/>
      <c r="J126" s="88"/>
      <c r="K126" s="89"/>
      <c r="L126" s="90"/>
      <c r="M126" s="10" t="b">
        <f t="shared" si="3"/>
        <v>0</v>
      </c>
    </row>
    <row r="127" spans="2:13" ht="22.5">
      <c r="B127" s="15">
        <v>115</v>
      </c>
      <c r="C127" s="15"/>
      <c r="D127" s="21" t="str">
        <f t="shared" si="4"/>
        <v/>
      </c>
      <c r="E127" s="60"/>
      <c r="F127" s="110" t="str">
        <f t="shared" si="5"/>
        <v/>
      </c>
      <c r="G127" s="60"/>
      <c r="H127" s="60"/>
      <c r="I127" s="60"/>
      <c r="J127" s="88"/>
      <c r="K127" s="89"/>
      <c r="L127" s="90"/>
      <c r="M127" s="10" t="b">
        <f t="shared" si="3"/>
        <v>0</v>
      </c>
    </row>
    <row r="128" spans="2:13" ht="22.5">
      <c r="B128" s="15">
        <v>116</v>
      </c>
      <c r="C128" s="15"/>
      <c r="D128" s="21" t="str">
        <f t="shared" si="4"/>
        <v/>
      </c>
      <c r="E128" s="60"/>
      <c r="F128" s="110" t="str">
        <f t="shared" si="5"/>
        <v/>
      </c>
      <c r="G128" s="60"/>
      <c r="H128" s="60"/>
      <c r="I128" s="60"/>
      <c r="J128" s="88"/>
      <c r="K128" s="89"/>
      <c r="L128" s="90"/>
      <c r="M128" s="10" t="b">
        <f t="shared" si="3"/>
        <v>0</v>
      </c>
    </row>
    <row r="129" spans="2:13" ht="22.5">
      <c r="B129" s="15">
        <v>117</v>
      </c>
      <c r="C129" s="15"/>
      <c r="D129" s="21" t="str">
        <f t="shared" si="4"/>
        <v/>
      </c>
      <c r="E129" s="60"/>
      <c r="F129" s="110" t="str">
        <f t="shared" si="5"/>
        <v/>
      </c>
      <c r="G129" s="60"/>
      <c r="H129" s="60"/>
      <c r="I129" s="60"/>
      <c r="J129" s="88"/>
      <c r="K129" s="89"/>
      <c r="L129" s="90"/>
      <c r="M129" s="10" t="b">
        <f t="shared" si="3"/>
        <v>0</v>
      </c>
    </row>
    <row r="130" spans="2:13" ht="22.5">
      <c r="B130" s="15">
        <v>118</v>
      </c>
      <c r="C130" s="15"/>
      <c r="D130" s="21" t="str">
        <f t="shared" si="4"/>
        <v/>
      </c>
      <c r="E130" s="60"/>
      <c r="F130" s="110" t="str">
        <f t="shared" si="5"/>
        <v/>
      </c>
      <c r="G130" s="60"/>
      <c r="H130" s="60"/>
      <c r="I130" s="60"/>
      <c r="J130" s="88"/>
      <c r="K130" s="89"/>
      <c r="L130" s="90"/>
      <c r="M130" s="10" t="b">
        <f t="shared" si="3"/>
        <v>0</v>
      </c>
    </row>
    <row r="131" spans="2:13" ht="22.5">
      <c r="B131" s="15">
        <v>119</v>
      </c>
      <c r="C131" s="15"/>
      <c r="D131" s="21" t="str">
        <f t="shared" si="4"/>
        <v/>
      </c>
      <c r="E131" s="60"/>
      <c r="F131" s="110" t="str">
        <f t="shared" si="5"/>
        <v/>
      </c>
      <c r="G131" s="60"/>
      <c r="H131" s="60"/>
      <c r="I131" s="60"/>
      <c r="J131" s="88"/>
      <c r="K131" s="89"/>
      <c r="L131" s="90"/>
      <c r="M131" s="10" t="b">
        <f t="shared" si="3"/>
        <v>0</v>
      </c>
    </row>
    <row r="132" spans="2:13" ht="22.5">
      <c r="B132" s="15">
        <v>120</v>
      </c>
      <c r="C132" s="15"/>
      <c r="D132" s="21" t="str">
        <f t="shared" si="4"/>
        <v/>
      </c>
      <c r="E132" s="60"/>
      <c r="F132" s="110" t="str">
        <f t="shared" si="5"/>
        <v/>
      </c>
      <c r="G132" s="60"/>
      <c r="H132" s="60"/>
      <c r="I132" s="60"/>
      <c r="J132" s="88"/>
      <c r="K132" s="89"/>
      <c r="L132" s="90"/>
      <c r="M132" s="10" t="b">
        <f t="shared" si="3"/>
        <v>0</v>
      </c>
    </row>
    <row r="133" spans="2:13" ht="22.5">
      <c r="B133" s="15">
        <v>121</v>
      </c>
      <c r="C133" s="15"/>
      <c r="D133" s="21" t="str">
        <f t="shared" si="4"/>
        <v/>
      </c>
      <c r="E133" s="60"/>
      <c r="F133" s="110" t="str">
        <f t="shared" si="5"/>
        <v/>
      </c>
      <c r="G133" s="60"/>
      <c r="H133" s="60"/>
      <c r="I133" s="60"/>
      <c r="J133" s="88"/>
      <c r="K133" s="89"/>
      <c r="L133" s="90"/>
      <c r="M133" s="10" t="b">
        <f t="shared" si="3"/>
        <v>0</v>
      </c>
    </row>
    <row r="134" spans="2:13" ht="22.5">
      <c r="B134" s="15">
        <v>122</v>
      </c>
      <c r="C134" s="15"/>
      <c r="D134" s="21" t="str">
        <f t="shared" si="4"/>
        <v/>
      </c>
      <c r="E134" s="60"/>
      <c r="F134" s="110" t="str">
        <f t="shared" si="5"/>
        <v/>
      </c>
      <c r="G134" s="60"/>
      <c r="H134" s="60"/>
      <c r="I134" s="60"/>
      <c r="J134" s="88"/>
      <c r="K134" s="89"/>
      <c r="L134" s="90"/>
      <c r="M134" s="10" t="b">
        <f t="shared" si="3"/>
        <v>0</v>
      </c>
    </row>
    <row r="135" spans="2:13" ht="22.5">
      <c r="B135" s="15">
        <v>123</v>
      </c>
      <c r="C135" s="15"/>
      <c r="D135" s="21" t="str">
        <f t="shared" si="4"/>
        <v/>
      </c>
      <c r="E135" s="60"/>
      <c r="F135" s="110" t="str">
        <f t="shared" si="5"/>
        <v/>
      </c>
      <c r="G135" s="60"/>
      <c r="H135" s="60"/>
      <c r="I135" s="60"/>
      <c r="J135" s="88"/>
      <c r="K135" s="89"/>
      <c r="L135" s="90"/>
      <c r="M135" s="10" t="b">
        <f t="shared" si="3"/>
        <v>0</v>
      </c>
    </row>
    <row r="136" spans="2:13" ht="22.5">
      <c r="B136" s="15">
        <v>124</v>
      </c>
      <c r="C136" s="15"/>
      <c r="D136" s="21" t="str">
        <f t="shared" si="4"/>
        <v/>
      </c>
      <c r="E136" s="60"/>
      <c r="F136" s="110" t="str">
        <f t="shared" si="5"/>
        <v/>
      </c>
      <c r="G136" s="60"/>
      <c r="H136" s="60"/>
      <c r="I136" s="60"/>
      <c r="J136" s="88"/>
      <c r="K136" s="89"/>
      <c r="L136" s="90"/>
      <c r="M136" s="10" t="b">
        <f t="shared" si="3"/>
        <v>0</v>
      </c>
    </row>
    <row r="137" spans="2:13" ht="22.5">
      <c r="B137" s="15">
        <v>125</v>
      </c>
      <c r="C137" s="15"/>
      <c r="D137" s="21" t="str">
        <f t="shared" si="4"/>
        <v/>
      </c>
      <c r="E137" s="60"/>
      <c r="F137" s="110" t="str">
        <f t="shared" si="5"/>
        <v/>
      </c>
      <c r="G137" s="60"/>
      <c r="H137" s="60"/>
      <c r="I137" s="60"/>
      <c r="J137" s="88"/>
      <c r="K137" s="89"/>
      <c r="L137" s="90"/>
      <c r="M137" s="10" t="b">
        <f t="shared" si="3"/>
        <v>0</v>
      </c>
    </row>
    <row r="138" spans="2:13" ht="22.5">
      <c r="B138" s="15">
        <v>126</v>
      </c>
      <c r="C138" s="15"/>
      <c r="D138" s="21" t="str">
        <f t="shared" si="4"/>
        <v/>
      </c>
      <c r="E138" s="60"/>
      <c r="F138" s="110" t="str">
        <f t="shared" si="5"/>
        <v/>
      </c>
      <c r="G138" s="60"/>
      <c r="H138" s="60"/>
      <c r="I138" s="60"/>
      <c r="J138" s="88"/>
      <c r="K138" s="89"/>
      <c r="L138" s="90"/>
      <c r="M138" s="10" t="b">
        <f t="shared" si="3"/>
        <v>0</v>
      </c>
    </row>
    <row r="139" spans="2:13" ht="22.5">
      <c r="B139" s="15">
        <v>127</v>
      </c>
      <c r="C139" s="15"/>
      <c r="D139" s="21" t="str">
        <f t="shared" si="4"/>
        <v/>
      </c>
      <c r="E139" s="60"/>
      <c r="F139" s="110" t="str">
        <f t="shared" si="5"/>
        <v/>
      </c>
      <c r="G139" s="60"/>
      <c r="H139" s="60"/>
      <c r="I139" s="60"/>
      <c r="J139" s="88"/>
      <c r="K139" s="89"/>
      <c r="L139" s="90"/>
      <c r="M139" s="10" t="b">
        <f t="shared" si="3"/>
        <v>0</v>
      </c>
    </row>
    <row r="140" spans="2:13" ht="22.5">
      <c r="B140" s="15">
        <v>128</v>
      </c>
      <c r="C140" s="15"/>
      <c r="D140" s="21" t="str">
        <f t="shared" si="4"/>
        <v/>
      </c>
      <c r="E140" s="60"/>
      <c r="F140" s="110" t="str">
        <f t="shared" si="5"/>
        <v/>
      </c>
      <c r="G140" s="60"/>
      <c r="H140" s="60"/>
      <c r="I140" s="60"/>
      <c r="J140" s="88"/>
      <c r="K140" s="89"/>
      <c r="L140" s="90"/>
      <c r="M140" s="10" t="b">
        <f t="shared" si="3"/>
        <v>0</v>
      </c>
    </row>
    <row r="141" spans="2:13" ht="22.5">
      <c r="B141" s="15">
        <v>129</v>
      </c>
      <c r="C141" s="15"/>
      <c r="D141" s="21" t="str">
        <f t="shared" si="4"/>
        <v/>
      </c>
      <c r="E141" s="60"/>
      <c r="F141" s="110" t="str">
        <f t="shared" si="5"/>
        <v/>
      </c>
      <c r="G141" s="60"/>
      <c r="H141" s="60"/>
      <c r="I141" s="60"/>
      <c r="J141" s="88"/>
      <c r="K141" s="89"/>
      <c r="L141" s="90"/>
      <c r="M141" s="10" t="b">
        <f t="shared" ref="M141:M204" si="6">IF(COUNTA(E141,G141)=0,FALSE,TRUE)</f>
        <v>0</v>
      </c>
    </row>
    <row r="142" spans="2:13" ht="22.5">
      <c r="B142" s="15">
        <v>130</v>
      </c>
      <c r="C142" s="15"/>
      <c r="D142" s="21" t="str">
        <f t="shared" ref="D142:D205" si="7">IF(LEN(E142)=0,"",IF((AND(ISNUMBER(VALUE(E142)),LEN(E142)=12)),3,IF(AND(ISNUMBER(VALUE(E142)),(LEN(E142)=10)),1,IF(AND(OR((LEFT(E142)="R"),(LEFT(E142)="R")),(ISNUMBER(VALUE(RIGHT(E142,9)))),(LEN(E142)=10)),2,FALSE))))</f>
        <v/>
      </c>
      <c r="E142" s="60"/>
      <c r="F142" s="110" t="str">
        <f t="shared" ref="F142:F205" si="8">IF(D142=FALSE,"←ご確認ください",IF(OR(D142=1,D142=2,D142=3),"形式OK",""))</f>
        <v/>
      </c>
      <c r="G142" s="60"/>
      <c r="H142" s="60"/>
      <c r="I142" s="60"/>
      <c r="J142" s="88"/>
      <c r="K142" s="89"/>
      <c r="L142" s="90"/>
      <c r="M142" s="10" t="b">
        <f t="shared" si="6"/>
        <v>0</v>
      </c>
    </row>
    <row r="143" spans="2:13" ht="22.5">
      <c r="B143" s="15">
        <v>131</v>
      </c>
      <c r="C143" s="15"/>
      <c r="D143" s="21" t="str">
        <f t="shared" si="7"/>
        <v/>
      </c>
      <c r="E143" s="60"/>
      <c r="F143" s="110" t="str">
        <f t="shared" si="8"/>
        <v/>
      </c>
      <c r="G143" s="60"/>
      <c r="H143" s="60"/>
      <c r="I143" s="60"/>
      <c r="J143" s="88"/>
      <c r="K143" s="89"/>
      <c r="L143" s="90"/>
      <c r="M143" s="10" t="b">
        <f t="shared" si="6"/>
        <v>0</v>
      </c>
    </row>
    <row r="144" spans="2:13" ht="22.5">
      <c r="B144" s="15">
        <v>132</v>
      </c>
      <c r="C144" s="15"/>
      <c r="D144" s="21" t="str">
        <f t="shared" si="7"/>
        <v/>
      </c>
      <c r="E144" s="60"/>
      <c r="F144" s="110" t="str">
        <f t="shared" si="8"/>
        <v/>
      </c>
      <c r="G144" s="60"/>
      <c r="H144" s="60"/>
      <c r="I144" s="60"/>
      <c r="J144" s="88"/>
      <c r="K144" s="89"/>
      <c r="L144" s="90"/>
      <c r="M144" s="10" t="b">
        <f t="shared" si="6"/>
        <v>0</v>
      </c>
    </row>
    <row r="145" spans="2:13" ht="22.5">
      <c r="B145" s="15">
        <v>133</v>
      </c>
      <c r="C145" s="15"/>
      <c r="D145" s="21" t="str">
        <f t="shared" si="7"/>
        <v/>
      </c>
      <c r="E145" s="60"/>
      <c r="F145" s="110" t="str">
        <f t="shared" si="8"/>
        <v/>
      </c>
      <c r="G145" s="60"/>
      <c r="H145" s="60"/>
      <c r="I145" s="60"/>
      <c r="J145" s="88"/>
      <c r="K145" s="89"/>
      <c r="L145" s="90"/>
      <c r="M145" s="10" t="b">
        <f t="shared" si="6"/>
        <v>0</v>
      </c>
    </row>
    <row r="146" spans="2:13" ht="22.5">
      <c r="B146" s="15">
        <v>134</v>
      </c>
      <c r="C146" s="15"/>
      <c r="D146" s="21" t="str">
        <f t="shared" si="7"/>
        <v/>
      </c>
      <c r="E146" s="60"/>
      <c r="F146" s="110" t="str">
        <f t="shared" si="8"/>
        <v/>
      </c>
      <c r="G146" s="60"/>
      <c r="H146" s="60"/>
      <c r="I146" s="60"/>
      <c r="J146" s="88"/>
      <c r="K146" s="89"/>
      <c r="L146" s="90"/>
      <c r="M146" s="10" t="b">
        <f t="shared" si="6"/>
        <v>0</v>
      </c>
    </row>
    <row r="147" spans="2:13" ht="22.5">
      <c r="B147" s="15">
        <v>135</v>
      </c>
      <c r="C147" s="15"/>
      <c r="D147" s="21" t="str">
        <f t="shared" si="7"/>
        <v/>
      </c>
      <c r="E147" s="60"/>
      <c r="F147" s="110" t="str">
        <f t="shared" si="8"/>
        <v/>
      </c>
      <c r="G147" s="60"/>
      <c r="H147" s="60"/>
      <c r="I147" s="60"/>
      <c r="J147" s="88"/>
      <c r="K147" s="89"/>
      <c r="L147" s="90"/>
      <c r="M147" s="10" t="b">
        <f t="shared" si="6"/>
        <v>0</v>
      </c>
    </row>
    <row r="148" spans="2:13" ht="22.5">
      <c r="B148" s="15">
        <v>136</v>
      </c>
      <c r="C148" s="15"/>
      <c r="D148" s="21" t="str">
        <f t="shared" si="7"/>
        <v/>
      </c>
      <c r="E148" s="60"/>
      <c r="F148" s="110" t="str">
        <f t="shared" si="8"/>
        <v/>
      </c>
      <c r="G148" s="60"/>
      <c r="H148" s="60"/>
      <c r="I148" s="60"/>
      <c r="J148" s="88"/>
      <c r="K148" s="89"/>
      <c r="L148" s="90"/>
      <c r="M148" s="10" t="b">
        <f t="shared" si="6"/>
        <v>0</v>
      </c>
    </row>
    <row r="149" spans="2:13" ht="22.5">
      <c r="B149" s="15">
        <v>137</v>
      </c>
      <c r="C149" s="15"/>
      <c r="D149" s="21" t="str">
        <f t="shared" si="7"/>
        <v/>
      </c>
      <c r="E149" s="60"/>
      <c r="F149" s="110" t="str">
        <f t="shared" si="8"/>
        <v/>
      </c>
      <c r="G149" s="60"/>
      <c r="H149" s="60"/>
      <c r="I149" s="60"/>
      <c r="J149" s="88"/>
      <c r="K149" s="89"/>
      <c r="L149" s="90"/>
      <c r="M149" s="10" t="b">
        <f t="shared" si="6"/>
        <v>0</v>
      </c>
    </row>
    <row r="150" spans="2:13" ht="22.5">
      <c r="B150" s="15">
        <v>138</v>
      </c>
      <c r="C150" s="15"/>
      <c r="D150" s="21" t="str">
        <f t="shared" si="7"/>
        <v/>
      </c>
      <c r="E150" s="60"/>
      <c r="F150" s="110" t="str">
        <f t="shared" si="8"/>
        <v/>
      </c>
      <c r="G150" s="60"/>
      <c r="H150" s="60"/>
      <c r="I150" s="60"/>
      <c r="J150" s="88"/>
      <c r="K150" s="89"/>
      <c r="L150" s="90"/>
      <c r="M150" s="10" t="b">
        <f t="shared" si="6"/>
        <v>0</v>
      </c>
    </row>
    <row r="151" spans="2:13" ht="22.5">
      <c r="B151" s="15">
        <v>139</v>
      </c>
      <c r="C151" s="15"/>
      <c r="D151" s="21" t="str">
        <f t="shared" si="7"/>
        <v/>
      </c>
      <c r="E151" s="60"/>
      <c r="F151" s="110" t="str">
        <f t="shared" si="8"/>
        <v/>
      </c>
      <c r="G151" s="60"/>
      <c r="H151" s="60"/>
      <c r="I151" s="60"/>
      <c r="J151" s="88"/>
      <c r="K151" s="89"/>
      <c r="L151" s="90"/>
      <c r="M151" s="10" t="b">
        <f t="shared" si="6"/>
        <v>0</v>
      </c>
    </row>
    <row r="152" spans="2:13" ht="22.5">
      <c r="B152" s="15">
        <v>140</v>
      </c>
      <c r="C152" s="15"/>
      <c r="D152" s="21" t="str">
        <f t="shared" si="7"/>
        <v/>
      </c>
      <c r="E152" s="60"/>
      <c r="F152" s="110" t="str">
        <f t="shared" si="8"/>
        <v/>
      </c>
      <c r="G152" s="60"/>
      <c r="H152" s="60"/>
      <c r="I152" s="60"/>
      <c r="J152" s="88"/>
      <c r="K152" s="89"/>
      <c r="L152" s="90"/>
      <c r="M152" s="10" t="b">
        <f t="shared" si="6"/>
        <v>0</v>
      </c>
    </row>
    <row r="153" spans="2:13" ht="22.5">
      <c r="B153" s="15">
        <v>141</v>
      </c>
      <c r="C153" s="15"/>
      <c r="D153" s="21" t="str">
        <f t="shared" si="7"/>
        <v/>
      </c>
      <c r="E153" s="60"/>
      <c r="F153" s="110" t="str">
        <f t="shared" si="8"/>
        <v/>
      </c>
      <c r="G153" s="60"/>
      <c r="H153" s="60"/>
      <c r="I153" s="60"/>
      <c r="J153" s="88"/>
      <c r="K153" s="89"/>
      <c r="L153" s="90"/>
      <c r="M153" s="10" t="b">
        <f t="shared" si="6"/>
        <v>0</v>
      </c>
    </row>
    <row r="154" spans="2:13" ht="22.5">
      <c r="B154" s="15">
        <v>142</v>
      </c>
      <c r="C154" s="15"/>
      <c r="D154" s="21" t="str">
        <f t="shared" si="7"/>
        <v/>
      </c>
      <c r="E154" s="60"/>
      <c r="F154" s="110" t="str">
        <f t="shared" si="8"/>
        <v/>
      </c>
      <c r="G154" s="60"/>
      <c r="H154" s="60"/>
      <c r="I154" s="60"/>
      <c r="J154" s="88"/>
      <c r="K154" s="89"/>
      <c r="L154" s="90"/>
      <c r="M154" s="10" t="b">
        <f t="shared" si="6"/>
        <v>0</v>
      </c>
    </row>
    <row r="155" spans="2:13" ht="22.5">
      <c r="B155" s="15">
        <v>143</v>
      </c>
      <c r="C155" s="15"/>
      <c r="D155" s="21" t="str">
        <f t="shared" si="7"/>
        <v/>
      </c>
      <c r="E155" s="60"/>
      <c r="F155" s="110" t="str">
        <f t="shared" si="8"/>
        <v/>
      </c>
      <c r="G155" s="60"/>
      <c r="H155" s="60"/>
      <c r="I155" s="60"/>
      <c r="J155" s="88"/>
      <c r="K155" s="89"/>
      <c r="L155" s="90"/>
      <c r="M155" s="10" t="b">
        <f t="shared" si="6"/>
        <v>0</v>
      </c>
    </row>
    <row r="156" spans="2:13" ht="22.5">
      <c r="B156" s="15">
        <v>144</v>
      </c>
      <c r="C156" s="15"/>
      <c r="D156" s="21" t="str">
        <f t="shared" si="7"/>
        <v/>
      </c>
      <c r="E156" s="60"/>
      <c r="F156" s="110" t="str">
        <f t="shared" si="8"/>
        <v/>
      </c>
      <c r="G156" s="60"/>
      <c r="H156" s="60"/>
      <c r="I156" s="60"/>
      <c r="J156" s="88"/>
      <c r="K156" s="89"/>
      <c r="L156" s="90"/>
      <c r="M156" s="10" t="b">
        <f t="shared" si="6"/>
        <v>0</v>
      </c>
    </row>
    <row r="157" spans="2:13" ht="22.5">
      <c r="B157" s="15">
        <v>145</v>
      </c>
      <c r="C157" s="15"/>
      <c r="D157" s="21" t="str">
        <f t="shared" si="7"/>
        <v/>
      </c>
      <c r="E157" s="60"/>
      <c r="F157" s="110" t="str">
        <f t="shared" si="8"/>
        <v/>
      </c>
      <c r="G157" s="60"/>
      <c r="H157" s="60"/>
      <c r="I157" s="60"/>
      <c r="J157" s="88"/>
      <c r="K157" s="89"/>
      <c r="L157" s="90"/>
      <c r="M157" s="10" t="b">
        <f t="shared" si="6"/>
        <v>0</v>
      </c>
    </row>
    <row r="158" spans="2:13" ht="22.5">
      <c r="B158" s="15">
        <v>146</v>
      </c>
      <c r="C158" s="15"/>
      <c r="D158" s="21" t="str">
        <f t="shared" si="7"/>
        <v/>
      </c>
      <c r="E158" s="60"/>
      <c r="F158" s="110" t="str">
        <f t="shared" si="8"/>
        <v/>
      </c>
      <c r="G158" s="60"/>
      <c r="H158" s="60"/>
      <c r="I158" s="60"/>
      <c r="J158" s="88"/>
      <c r="K158" s="89"/>
      <c r="L158" s="90"/>
      <c r="M158" s="10" t="b">
        <f t="shared" si="6"/>
        <v>0</v>
      </c>
    </row>
    <row r="159" spans="2:13" ht="22.5">
      <c r="B159" s="15">
        <v>147</v>
      </c>
      <c r="C159" s="15"/>
      <c r="D159" s="21" t="str">
        <f t="shared" si="7"/>
        <v/>
      </c>
      <c r="E159" s="60"/>
      <c r="F159" s="110" t="str">
        <f t="shared" si="8"/>
        <v/>
      </c>
      <c r="G159" s="60"/>
      <c r="H159" s="60"/>
      <c r="I159" s="60"/>
      <c r="J159" s="88"/>
      <c r="K159" s="89"/>
      <c r="L159" s="90"/>
      <c r="M159" s="10" t="b">
        <f t="shared" si="6"/>
        <v>0</v>
      </c>
    </row>
    <row r="160" spans="2:13" ht="22.5">
      <c r="B160" s="15">
        <v>148</v>
      </c>
      <c r="C160" s="15"/>
      <c r="D160" s="21" t="str">
        <f t="shared" si="7"/>
        <v/>
      </c>
      <c r="E160" s="60"/>
      <c r="F160" s="110" t="str">
        <f t="shared" si="8"/>
        <v/>
      </c>
      <c r="G160" s="60"/>
      <c r="H160" s="60"/>
      <c r="I160" s="60"/>
      <c r="J160" s="88"/>
      <c r="K160" s="89"/>
      <c r="L160" s="90"/>
      <c r="M160" s="10" t="b">
        <f t="shared" si="6"/>
        <v>0</v>
      </c>
    </row>
    <row r="161" spans="2:13" ht="22.5">
      <c r="B161" s="15">
        <v>149</v>
      </c>
      <c r="C161" s="15"/>
      <c r="D161" s="21" t="str">
        <f t="shared" si="7"/>
        <v/>
      </c>
      <c r="E161" s="60"/>
      <c r="F161" s="110" t="str">
        <f t="shared" si="8"/>
        <v/>
      </c>
      <c r="G161" s="60"/>
      <c r="H161" s="60"/>
      <c r="I161" s="60"/>
      <c r="J161" s="88"/>
      <c r="K161" s="89"/>
      <c r="L161" s="90"/>
      <c r="M161" s="10" t="b">
        <f t="shared" si="6"/>
        <v>0</v>
      </c>
    </row>
    <row r="162" spans="2:13" ht="22.5">
      <c r="B162" s="15">
        <v>150</v>
      </c>
      <c r="C162" s="15"/>
      <c r="D162" s="21" t="str">
        <f t="shared" si="7"/>
        <v/>
      </c>
      <c r="E162" s="60"/>
      <c r="F162" s="110" t="str">
        <f t="shared" si="8"/>
        <v/>
      </c>
      <c r="G162" s="60"/>
      <c r="H162" s="60"/>
      <c r="I162" s="60"/>
      <c r="J162" s="88"/>
      <c r="K162" s="89"/>
      <c r="L162" s="90"/>
      <c r="M162" s="10" t="b">
        <f t="shared" si="6"/>
        <v>0</v>
      </c>
    </row>
    <row r="163" spans="2:13" ht="22.5">
      <c r="B163" s="15">
        <v>151</v>
      </c>
      <c r="C163" s="15"/>
      <c r="D163" s="21" t="str">
        <f t="shared" si="7"/>
        <v/>
      </c>
      <c r="E163" s="60"/>
      <c r="F163" s="110" t="str">
        <f t="shared" si="8"/>
        <v/>
      </c>
      <c r="G163" s="60"/>
      <c r="H163" s="60"/>
      <c r="I163" s="60"/>
      <c r="J163" s="88"/>
      <c r="K163" s="89"/>
      <c r="L163" s="90"/>
      <c r="M163" s="10" t="b">
        <f t="shared" si="6"/>
        <v>0</v>
      </c>
    </row>
    <row r="164" spans="2:13" ht="22.5">
      <c r="B164" s="15">
        <v>152</v>
      </c>
      <c r="C164" s="15"/>
      <c r="D164" s="21" t="str">
        <f t="shared" si="7"/>
        <v/>
      </c>
      <c r="E164" s="60"/>
      <c r="F164" s="110" t="str">
        <f t="shared" si="8"/>
        <v/>
      </c>
      <c r="G164" s="60"/>
      <c r="H164" s="60"/>
      <c r="I164" s="60"/>
      <c r="J164" s="88"/>
      <c r="K164" s="89"/>
      <c r="L164" s="90"/>
      <c r="M164" s="10" t="b">
        <f t="shared" si="6"/>
        <v>0</v>
      </c>
    </row>
    <row r="165" spans="2:13" ht="22.5">
      <c r="B165" s="15">
        <v>153</v>
      </c>
      <c r="C165" s="15"/>
      <c r="D165" s="21" t="str">
        <f t="shared" si="7"/>
        <v/>
      </c>
      <c r="E165" s="60"/>
      <c r="F165" s="110" t="str">
        <f t="shared" si="8"/>
        <v/>
      </c>
      <c r="G165" s="60"/>
      <c r="H165" s="60"/>
      <c r="I165" s="60"/>
      <c r="J165" s="88"/>
      <c r="K165" s="89"/>
      <c r="L165" s="90"/>
      <c r="M165" s="10" t="b">
        <f t="shared" si="6"/>
        <v>0</v>
      </c>
    </row>
    <row r="166" spans="2:13" ht="22.5">
      <c r="B166" s="15">
        <v>154</v>
      </c>
      <c r="C166" s="15"/>
      <c r="D166" s="21" t="str">
        <f t="shared" si="7"/>
        <v/>
      </c>
      <c r="E166" s="60"/>
      <c r="F166" s="110" t="str">
        <f t="shared" si="8"/>
        <v/>
      </c>
      <c r="G166" s="60"/>
      <c r="H166" s="60"/>
      <c r="I166" s="60"/>
      <c r="J166" s="88"/>
      <c r="K166" s="89"/>
      <c r="L166" s="90"/>
      <c r="M166" s="10" t="b">
        <f t="shared" si="6"/>
        <v>0</v>
      </c>
    </row>
    <row r="167" spans="2:13" ht="22.5">
      <c r="B167" s="15">
        <v>155</v>
      </c>
      <c r="C167" s="15"/>
      <c r="D167" s="21" t="str">
        <f t="shared" si="7"/>
        <v/>
      </c>
      <c r="E167" s="60"/>
      <c r="F167" s="110" t="str">
        <f t="shared" si="8"/>
        <v/>
      </c>
      <c r="G167" s="60"/>
      <c r="H167" s="60"/>
      <c r="I167" s="60"/>
      <c r="J167" s="88"/>
      <c r="K167" s="89"/>
      <c r="L167" s="90"/>
      <c r="M167" s="10" t="b">
        <f t="shared" si="6"/>
        <v>0</v>
      </c>
    </row>
    <row r="168" spans="2:13" ht="22.5">
      <c r="B168" s="15">
        <v>156</v>
      </c>
      <c r="C168" s="15"/>
      <c r="D168" s="21" t="str">
        <f t="shared" si="7"/>
        <v/>
      </c>
      <c r="E168" s="60"/>
      <c r="F168" s="110" t="str">
        <f t="shared" si="8"/>
        <v/>
      </c>
      <c r="G168" s="60"/>
      <c r="H168" s="60"/>
      <c r="I168" s="60"/>
      <c r="J168" s="88"/>
      <c r="K168" s="89"/>
      <c r="L168" s="90"/>
      <c r="M168" s="10" t="b">
        <f t="shared" si="6"/>
        <v>0</v>
      </c>
    </row>
    <row r="169" spans="2:13" ht="22.5">
      <c r="B169" s="15">
        <v>157</v>
      </c>
      <c r="C169" s="15"/>
      <c r="D169" s="21" t="str">
        <f t="shared" si="7"/>
        <v/>
      </c>
      <c r="E169" s="60"/>
      <c r="F169" s="110" t="str">
        <f t="shared" si="8"/>
        <v/>
      </c>
      <c r="G169" s="60"/>
      <c r="H169" s="60"/>
      <c r="I169" s="60"/>
      <c r="J169" s="88"/>
      <c r="K169" s="89"/>
      <c r="L169" s="90"/>
      <c r="M169" s="10" t="b">
        <f t="shared" si="6"/>
        <v>0</v>
      </c>
    </row>
    <row r="170" spans="2:13" ht="22.5">
      <c r="B170" s="15">
        <v>158</v>
      </c>
      <c r="C170" s="15"/>
      <c r="D170" s="21" t="str">
        <f t="shared" si="7"/>
        <v/>
      </c>
      <c r="E170" s="60"/>
      <c r="F170" s="110" t="str">
        <f t="shared" si="8"/>
        <v/>
      </c>
      <c r="G170" s="60"/>
      <c r="H170" s="60"/>
      <c r="I170" s="60"/>
      <c r="J170" s="88"/>
      <c r="K170" s="89"/>
      <c r="L170" s="90"/>
      <c r="M170" s="10" t="b">
        <f t="shared" si="6"/>
        <v>0</v>
      </c>
    </row>
    <row r="171" spans="2:13" ht="22.5">
      <c r="B171" s="15">
        <v>159</v>
      </c>
      <c r="C171" s="15"/>
      <c r="D171" s="21" t="str">
        <f t="shared" si="7"/>
        <v/>
      </c>
      <c r="E171" s="60"/>
      <c r="F171" s="110" t="str">
        <f t="shared" si="8"/>
        <v/>
      </c>
      <c r="G171" s="60"/>
      <c r="H171" s="60"/>
      <c r="I171" s="60"/>
      <c r="J171" s="88"/>
      <c r="K171" s="89"/>
      <c r="L171" s="90"/>
      <c r="M171" s="10" t="b">
        <f t="shared" si="6"/>
        <v>0</v>
      </c>
    </row>
    <row r="172" spans="2:13" ht="22.5">
      <c r="B172" s="15">
        <v>160</v>
      </c>
      <c r="C172" s="15"/>
      <c r="D172" s="21" t="str">
        <f t="shared" si="7"/>
        <v/>
      </c>
      <c r="E172" s="60"/>
      <c r="F172" s="110" t="str">
        <f t="shared" si="8"/>
        <v/>
      </c>
      <c r="G172" s="60"/>
      <c r="H172" s="60"/>
      <c r="I172" s="60"/>
      <c r="J172" s="88"/>
      <c r="K172" s="89"/>
      <c r="L172" s="90"/>
      <c r="M172" s="10" t="b">
        <f t="shared" si="6"/>
        <v>0</v>
      </c>
    </row>
    <row r="173" spans="2:13" ht="22.5">
      <c r="B173" s="15">
        <v>161</v>
      </c>
      <c r="C173" s="15"/>
      <c r="D173" s="21" t="str">
        <f t="shared" si="7"/>
        <v/>
      </c>
      <c r="E173" s="60"/>
      <c r="F173" s="110" t="str">
        <f t="shared" si="8"/>
        <v/>
      </c>
      <c r="G173" s="60"/>
      <c r="H173" s="60"/>
      <c r="I173" s="60"/>
      <c r="J173" s="88"/>
      <c r="K173" s="89"/>
      <c r="L173" s="90"/>
      <c r="M173" s="10" t="b">
        <f t="shared" si="6"/>
        <v>0</v>
      </c>
    </row>
    <row r="174" spans="2:13" ht="22.5">
      <c r="B174" s="15">
        <v>162</v>
      </c>
      <c r="C174" s="15"/>
      <c r="D174" s="21" t="str">
        <f t="shared" si="7"/>
        <v/>
      </c>
      <c r="E174" s="60"/>
      <c r="F174" s="110" t="str">
        <f t="shared" si="8"/>
        <v/>
      </c>
      <c r="G174" s="60"/>
      <c r="H174" s="60"/>
      <c r="I174" s="60"/>
      <c r="J174" s="88"/>
      <c r="K174" s="89"/>
      <c r="L174" s="90"/>
      <c r="M174" s="10" t="b">
        <f t="shared" si="6"/>
        <v>0</v>
      </c>
    </row>
    <row r="175" spans="2:13" ht="22.5">
      <c r="B175" s="15">
        <v>163</v>
      </c>
      <c r="C175" s="15"/>
      <c r="D175" s="21" t="str">
        <f t="shared" si="7"/>
        <v/>
      </c>
      <c r="E175" s="60"/>
      <c r="F175" s="110" t="str">
        <f t="shared" si="8"/>
        <v/>
      </c>
      <c r="G175" s="60"/>
      <c r="H175" s="60"/>
      <c r="I175" s="60"/>
      <c r="J175" s="88"/>
      <c r="K175" s="89"/>
      <c r="L175" s="90"/>
      <c r="M175" s="10" t="b">
        <f t="shared" si="6"/>
        <v>0</v>
      </c>
    </row>
    <row r="176" spans="2:13" ht="22.5">
      <c r="B176" s="15">
        <v>164</v>
      </c>
      <c r="C176" s="15"/>
      <c r="D176" s="21" t="str">
        <f t="shared" si="7"/>
        <v/>
      </c>
      <c r="E176" s="60"/>
      <c r="F176" s="110" t="str">
        <f t="shared" si="8"/>
        <v/>
      </c>
      <c r="G176" s="60"/>
      <c r="H176" s="60"/>
      <c r="I176" s="60"/>
      <c r="J176" s="88"/>
      <c r="K176" s="89"/>
      <c r="L176" s="90"/>
      <c r="M176" s="10" t="b">
        <f t="shared" si="6"/>
        <v>0</v>
      </c>
    </row>
    <row r="177" spans="2:13" ht="22.5">
      <c r="B177" s="15">
        <v>165</v>
      </c>
      <c r="C177" s="15"/>
      <c r="D177" s="21" t="str">
        <f t="shared" si="7"/>
        <v/>
      </c>
      <c r="E177" s="60"/>
      <c r="F177" s="110" t="str">
        <f t="shared" si="8"/>
        <v/>
      </c>
      <c r="G177" s="60"/>
      <c r="H177" s="60"/>
      <c r="I177" s="60"/>
      <c r="J177" s="88"/>
      <c r="K177" s="89"/>
      <c r="L177" s="90"/>
      <c r="M177" s="10" t="b">
        <f t="shared" si="6"/>
        <v>0</v>
      </c>
    </row>
    <row r="178" spans="2:13" ht="22.5">
      <c r="B178" s="15">
        <v>166</v>
      </c>
      <c r="C178" s="15"/>
      <c r="D178" s="21" t="str">
        <f t="shared" si="7"/>
        <v/>
      </c>
      <c r="E178" s="60"/>
      <c r="F178" s="110" t="str">
        <f t="shared" si="8"/>
        <v/>
      </c>
      <c r="G178" s="60"/>
      <c r="H178" s="60"/>
      <c r="I178" s="60"/>
      <c r="J178" s="88"/>
      <c r="K178" s="89"/>
      <c r="L178" s="90"/>
      <c r="M178" s="10" t="b">
        <f t="shared" si="6"/>
        <v>0</v>
      </c>
    </row>
    <row r="179" spans="2:13" ht="22.5">
      <c r="B179" s="15">
        <v>167</v>
      </c>
      <c r="C179" s="15"/>
      <c r="D179" s="21" t="str">
        <f t="shared" si="7"/>
        <v/>
      </c>
      <c r="E179" s="60"/>
      <c r="F179" s="110" t="str">
        <f t="shared" si="8"/>
        <v/>
      </c>
      <c r="G179" s="60"/>
      <c r="H179" s="60"/>
      <c r="I179" s="60"/>
      <c r="J179" s="88"/>
      <c r="K179" s="89"/>
      <c r="L179" s="90"/>
      <c r="M179" s="10" t="b">
        <f t="shared" si="6"/>
        <v>0</v>
      </c>
    </row>
    <row r="180" spans="2:13" ht="22.5">
      <c r="B180" s="15">
        <v>168</v>
      </c>
      <c r="C180" s="15"/>
      <c r="D180" s="21" t="str">
        <f t="shared" si="7"/>
        <v/>
      </c>
      <c r="E180" s="60"/>
      <c r="F180" s="110" t="str">
        <f t="shared" si="8"/>
        <v/>
      </c>
      <c r="G180" s="60"/>
      <c r="H180" s="60"/>
      <c r="I180" s="60"/>
      <c r="J180" s="88"/>
      <c r="K180" s="89"/>
      <c r="L180" s="90"/>
      <c r="M180" s="10" t="b">
        <f t="shared" si="6"/>
        <v>0</v>
      </c>
    </row>
    <row r="181" spans="2:13" ht="22.5">
      <c r="B181" s="15">
        <v>169</v>
      </c>
      <c r="C181" s="15"/>
      <c r="D181" s="21" t="str">
        <f t="shared" si="7"/>
        <v/>
      </c>
      <c r="E181" s="60"/>
      <c r="F181" s="110" t="str">
        <f t="shared" si="8"/>
        <v/>
      </c>
      <c r="G181" s="60"/>
      <c r="H181" s="60"/>
      <c r="I181" s="60"/>
      <c r="J181" s="88"/>
      <c r="K181" s="89"/>
      <c r="L181" s="90"/>
      <c r="M181" s="10" t="b">
        <f t="shared" si="6"/>
        <v>0</v>
      </c>
    </row>
    <row r="182" spans="2:13" ht="22.5">
      <c r="B182" s="15">
        <v>170</v>
      </c>
      <c r="C182" s="15"/>
      <c r="D182" s="21" t="str">
        <f t="shared" si="7"/>
        <v/>
      </c>
      <c r="E182" s="60"/>
      <c r="F182" s="110" t="str">
        <f t="shared" si="8"/>
        <v/>
      </c>
      <c r="G182" s="60"/>
      <c r="H182" s="60"/>
      <c r="I182" s="60"/>
      <c r="J182" s="88"/>
      <c r="K182" s="89"/>
      <c r="L182" s="90"/>
      <c r="M182" s="10" t="b">
        <f t="shared" si="6"/>
        <v>0</v>
      </c>
    </row>
    <row r="183" spans="2:13" ht="22.5">
      <c r="B183" s="15">
        <v>171</v>
      </c>
      <c r="C183" s="15"/>
      <c r="D183" s="21" t="str">
        <f t="shared" si="7"/>
        <v/>
      </c>
      <c r="E183" s="60"/>
      <c r="F183" s="110" t="str">
        <f t="shared" si="8"/>
        <v/>
      </c>
      <c r="G183" s="60"/>
      <c r="H183" s="60"/>
      <c r="I183" s="60"/>
      <c r="J183" s="88"/>
      <c r="K183" s="89"/>
      <c r="L183" s="90"/>
      <c r="M183" s="10" t="b">
        <f t="shared" si="6"/>
        <v>0</v>
      </c>
    </row>
    <row r="184" spans="2:13" ht="22.5">
      <c r="B184" s="15">
        <v>172</v>
      </c>
      <c r="C184" s="15"/>
      <c r="D184" s="21" t="str">
        <f t="shared" si="7"/>
        <v/>
      </c>
      <c r="E184" s="60"/>
      <c r="F184" s="110" t="str">
        <f t="shared" si="8"/>
        <v/>
      </c>
      <c r="G184" s="60"/>
      <c r="H184" s="60"/>
      <c r="I184" s="60"/>
      <c r="J184" s="88"/>
      <c r="K184" s="89"/>
      <c r="L184" s="90"/>
      <c r="M184" s="10" t="b">
        <f t="shared" si="6"/>
        <v>0</v>
      </c>
    </row>
    <row r="185" spans="2:13" ht="22.5">
      <c r="B185" s="15">
        <v>173</v>
      </c>
      <c r="C185" s="15"/>
      <c r="D185" s="21" t="str">
        <f t="shared" si="7"/>
        <v/>
      </c>
      <c r="E185" s="60"/>
      <c r="F185" s="110" t="str">
        <f t="shared" si="8"/>
        <v/>
      </c>
      <c r="G185" s="60"/>
      <c r="H185" s="60"/>
      <c r="I185" s="60"/>
      <c r="J185" s="88"/>
      <c r="K185" s="89"/>
      <c r="L185" s="90"/>
      <c r="M185" s="10" t="b">
        <f t="shared" si="6"/>
        <v>0</v>
      </c>
    </row>
    <row r="186" spans="2:13" ht="22.5">
      <c r="B186" s="15">
        <v>174</v>
      </c>
      <c r="C186" s="15"/>
      <c r="D186" s="21" t="str">
        <f t="shared" si="7"/>
        <v/>
      </c>
      <c r="E186" s="60"/>
      <c r="F186" s="110" t="str">
        <f t="shared" si="8"/>
        <v/>
      </c>
      <c r="G186" s="60"/>
      <c r="H186" s="60"/>
      <c r="I186" s="60"/>
      <c r="J186" s="88"/>
      <c r="K186" s="89"/>
      <c r="L186" s="90"/>
      <c r="M186" s="10" t="b">
        <f t="shared" si="6"/>
        <v>0</v>
      </c>
    </row>
    <row r="187" spans="2:13" ht="22.5">
      <c r="B187" s="15">
        <v>175</v>
      </c>
      <c r="C187" s="15"/>
      <c r="D187" s="21" t="str">
        <f t="shared" si="7"/>
        <v/>
      </c>
      <c r="E187" s="60"/>
      <c r="F187" s="110" t="str">
        <f t="shared" si="8"/>
        <v/>
      </c>
      <c r="G187" s="60"/>
      <c r="H187" s="60"/>
      <c r="I187" s="60"/>
      <c r="J187" s="88"/>
      <c r="K187" s="89"/>
      <c r="L187" s="90"/>
      <c r="M187" s="10" t="b">
        <f t="shared" si="6"/>
        <v>0</v>
      </c>
    </row>
    <row r="188" spans="2:13" ht="22.5">
      <c r="B188" s="15">
        <v>176</v>
      </c>
      <c r="C188" s="15"/>
      <c r="D188" s="21" t="str">
        <f t="shared" si="7"/>
        <v/>
      </c>
      <c r="E188" s="60"/>
      <c r="F188" s="110" t="str">
        <f t="shared" si="8"/>
        <v/>
      </c>
      <c r="G188" s="60"/>
      <c r="H188" s="60"/>
      <c r="I188" s="60"/>
      <c r="J188" s="88"/>
      <c r="K188" s="89"/>
      <c r="L188" s="90"/>
      <c r="M188" s="10" t="b">
        <f t="shared" si="6"/>
        <v>0</v>
      </c>
    </row>
    <row r="189" spans="2:13" ht="22.5">
      <c r="B189" s="15">
        <v>177</v>
      </c>
      <c r="C189" s="15"/>
      <c r="D189" s="21" t="str">
        <f t="shared" si="7"/>
        <v/>
      </c>
      <c r="E189" s="60"/>
      <c r="F189" s="110" t="str">
        <f t="shared" si="8"/>
        <v/>
      </c>
      <c r="G189" s="60"/>
      <c r="H189" s="60"/>
      <c r="I189" s="60"/>
      <c r="J189" s="88"/>
      <c r="K189" s="89"/>
      <c r="L189" s="90"/>
      <c r="M189" s="10" t="b">
        <f t="shared" si="6"/>
        <v>0</v>
      </c>
    </row>
    <row r="190" spans="2:13" ht="22.5">
      <c r="B190" s="15">
        <v>178</v>
      </c>
      <c r="C190" s="15"/>
      <c r="D190" s="21" t="str">
        <f t="shared" si="7"/>
        <v/>
      </c>
      <c r="E190" s="60"/>
      <c r="F190" s="110" t="str">
        <f t="shared" si="8"/>
        <v/>
      </c>
      <c r="G190" s="60"/>
      <c r="H190" s="60"/>
      <c r="I190" s="60"/>
      <c r="J190" s="88"/>
      <c r="K190" s="89"/>
      <c r="L190" s="90"/>
      <c r="M190" s="10" t="b">
        <f t="shared" si="6"/>
        <v>0</v>
      </c>
    </row>
    <row r="191" spans="2:13" ht="22.5">
      <c r="B191" s="15">
        <v>179</v>
      </c>
      <c r="C191" s="15"/>
      <c r="D191" s="21" t="str">
        <f t="shared" si="7"/>
        <v/>
      </c>
      <c r="E191" s="60"/>
      <c r="F191" s="110" t="str">
        <f t="shared" si="8"/>
        <v/>
      </c>
      <c r="G191" s="60"/>
      <c r="H191" s="60"/>
      <c r="I191" s="60"/>
      <c r="J191" s="88"/>
      <c r="K191" s="89"/>
      <c r="L191" s="90"/>
      <c r="M191" s="10" t="b">
        <f t="shared" si="6"/>
        <v>0</v>
      </c>
    </row>
    <row r="192" spans="2:13" ht="22.5">
      <c r="B192" s="15">
        <v>180</v>
      </c>
      <c r="C192" s="15"/>
      <c r="D192" s="21" t="str">
        <f t="shared" si="7"/>
        <v/>
      </c>
      <c r="E192" s="60"/>
      <c r="F192" s="110" t="str">
        <f t="shared" si="8"/>
        <v/>
      </c>
      <c r="G192" s="60"/>
      <c r="H192" s="60"/>
      <c r="I192" s="60"/>
      <c r="J192" s="88"/>
      <c r="K192" s="89"/>
      <c r="L192" s="90"/>
      <c r="M192" s="10" t="b">
        <f t="shared" si="6"/>
        <v>0</v>
      </c>
    </row>
    <row r="193" spans="2:13" ht="22.5">
      <c r="B193" s="15">
        <v>181</v>
      </c>
      <c r="C193" s="15"/>
      <c r="D193" s="21" t="str">
        <f t="shared" si="7"/>
        <v/>
      </c>
      <c r="E193" s="60"/>
      <c r="F193" s="110" t="str">
        <f t="shared" si="8"/>
        <v/>
      </c>
      <c r="G193" s="60"/>
      <c r="H193" s="60"/>
      <c r="I193" s="60"/>
      <c r="J193" s="88"/>
      <c r="K193" s="89"/>
      <c r="L193" s="90"/>
      <c r="M193" s="10" t="b">
        <f t="shared" si="6"/>
        <v>0</v>
      </c>
    </row>
    <row r="194" spans="2:13" ht="22.5">
      <c r="B194" s="15">
        <v>182</v>
      </c>
      <c r="C194" s="15"/>
      <c r="D194" s="21" t="str">
        <f t="shared" si="7"/>
        <v/>
      </c>
      <c r="E194" s="60"/>
      <c r="F194" s="110" t="str">
        <f t="shared" si="8"/>
        <v/>
      </c>
      <c r="G194" s="60"/>
      <c r="H194" s="60"/>
      <c r="I194" s="60"/>
      <c r="J194" s="88"/>
      <c r="K194" s="89"/>
      <c r="L194" s="90"/>
      <c r="M194" s="10" t="b">
        <f t="shared" si="6"/>
        <v>0</v>
      </c>
    </row>
    <row r="195" spans="2:13" ht="22.5">
      <c r="B195" s="15">
        <v>183</v>
      </c>
      <c r="C195" s="15"/>
      <c r="D195" s="21" t="str">
        <f t="shared" si="7"/>
        <v/>
      </c>
      <c r="E195" s="60"/>
      <c r="F195" s="110" t="str">
        <f t="shared" si="8"/>
        <v/>
      </c>
      <c r="G195" s="60"/>
      <c r="H195" s="60"/>
      <c r="I195" s="60"/>
      <c r="J195" s="88"/>
      <c r="K195" s="89"/>
      <c r="L195" s="90"/>
      <c r="M195" s="10" t="b">
        <f t="shared" si="6"/>
        <v>0</v>
      </c>
    </row>
    <row r="196" spans="2:13" ht="22.5">
      <c r="B196" s="15">
        <v>184</v>
      </c>
      <c r="C196" s="15"/>
      <c r="D196" s="21" t="str">
        <f t="shared" si="7"/>
        <v/>
      </c>
      <c r="E196" s="60"/>
      <c r="F196" s="110" t="str">
        <f t="shared" si="8"/>
        <v/>
      </c>
      <c r="G196" s="60"/>
      <c r="H196" s="60"/>
      <c r="I196" s="60"/>
      <c r="J196" s="88"/>
      <c r="K196" s="89"/>
      <c r="L196" s="90"/>
      <c r="M196" s="10" t="b">
        <f t="shared" si="6"/>
        <v>0</v>
      </c>
    </row>
    <row r="197" spans="2:13" ht="22.5">
      <c r="B197" s="15">
        <v>185</v>
      </c>
      <c r="C197" s="15"/>
      <c r="D197" s="21" t="str">
        <f t="shared" si="7"/>
        <v/>
      </c>
      <c r="E197" s="60"/>
      <c r="F197" s="110" t="str">
        <f t="shared" si="8"/>
        <v/>
      </c>
      <c r="G197" s="60"/>
      <c r="H197" s="60"/>
      <c r="I197" s="60"/>
      <c r="J197" s="88"/>
      <c r="K197" s="89"/>
      <c r="L197" s="90"/>
      <c r="M197" s="10" t="b">
        <f t="shared" si="6"/>
        <v>0</v>
      </c>
    </row>
    <row r="198" spans="2:13" ht="22.5">
      <c r="B198" s="15">
        <v>186</v>
      </c>
      <c r="C198" s="15"/>
      <c r="D198" s="21" t="str">
        <f t="shared" si="7"/>
        <v/>
      </c>
      <c r="E198" s="60"/>
      <c r="F198" s="110" t="str">
        <f t="shared" si="8"/>
        <v/>
      </c>
      <c r="G198" s="60"/>
      <c r="H198" s="60"/>
      <c r="I198" s="60"/>
      <c r="J198" s="88"/>
      <c r="K198" s="89"/>
      <c r="L198" s="90"/>
      <c r="M198" s="10" t="b">
        <f t="shared" si="6"/>
        <v>0</v>
      </c>
    </row>
    <row r="199" spans="2:13" ht="22.5">
      <c r="B199" s="15">
        <v>187</v>
      </c>
      <c r="C199" s="15"/>
      <c r="D199" s="21" t="str">
        <f t="shared" si="7"/>
        <v/>
      </c>
      <c r="E199" s="60"/>
      <c r="F199" s="110" t="str">
        <f t="shared" si="8"/>
        <v/>
      </c>
      <c r="G199" s="60"/>
      <c r="H199" s="60"/>
      <c r="I199" s="60"/>
      <c r="J199" s="88"/>
      <c r="K199" s="89"/>
      <c r="L199" s="90"/>
      <c r="M199" s="10" t="b">
        <f t="shared" si="6"/>
        <v>0</v>
      </c>
    </row>
    <row r="200" spans="2:13" ht="22.5">
      <c r="B200" s="15">
        <v>188</v>
      </c>
      <c r="C200" s="15"/>
      <c r="D200" s="21" t="str">
        <f t="shared" si="7"/>
        <v/>
      </c>
      <c r="E200" s="60"/>
      <c r="F200" s="110" t="str">
        <f t="shared" si="8"/>
        <v/>
      </c>
      <c r="G200" s="60"/>
      <c r="H200" s="60"/>
      <c r="I200" s="60"/>
      <c r="J200" s="88"/>
      <c r="K200" s="89"/>
      <c r="L200" s="90"/>
      <c r="M200" s="10" t="b">
        <f t="shared" si="6"/>
        <v>0</v>
      </c>
    </row>
    <row r="201" spans="2:13" ht="22.5">
      <c r="B201" s="15">
        <v>189</v>
      </c>
      <c r="C201" s="15"/>
      <c r="D201" s="21" t="str">
        <f t="shared" si="7"/>
        <v/>
      </c>
      <c r="E201" s="60"/>
      <c r="F201" s="110" t="str">
        <f t="shared" si="8"/>
        <v/>
      </c>
      <c r="G201" s="60"/>
      <c r="H201" s="60"/>
      <c r="I201" s="60"/>
      <c r="J201" s="88"/>
      <c r="K201" s="89"/>
      <c r="L201" s="90"/>
      <c r="M201" s="10" t="b">
        <f t="shared" si="6"/>
        <v>0</v>
      </c>
    </row>
    <row r="202" spans="2:13" ht="22.5">
      <c r="B202" s="15">
        <v>190</v>
      </c>
      <c r="C202" s="15"/>
      <c r="D202" s="21" t="str">
        <f t="shared" si="7"/>
        <v/>
      </c>
      <c r="E202" s="60"/>
      <c r="F202" s="110" t="str">
        <f t="shared" si="8"/>
        <v/>
      </c>
      <c r="G202" s="60"/>
      <c r="H202" s="60"/>
      <c r="I202" s="60"/>
      <c r="J202" s="88"/>
      <c r="K202" s="89"/>
      <c r="L202" s="90"/>
      <c r="M202" s="10" t="b">
        <f t="shared" si="6"/>
        <v>0</v>
      </c>
    </row>
    <row r="203" spans="2:13" ht="22.5">
      <c r="B203" s="15">
        <v>191</v>
      </c>
      <c r="C203" s="15"/>
      <c r="D203" s="21" t="str">
        <f t="shared" si="7"/>
        <v/>
      </c>
      <c r="E203" s="60"/>
      <c r="F203" s="110" t="str">
        <f t="shared" si="8"/>
        <v/>
      </c>
      <c r="G203" s="60"/>
      <c r="H203" s="60"/>
      <c r="I203" s="60"/>
      <c r="J203" s="88"/>
      <c r="K203" s="89"/>
      <c r="L203" s="90"/>
      <c r="M203" s="10" t="b">
        <f t="shared" si="6"/>
        <v>0</v>
      </c>
    </row>
    <row r="204" spans="2:13" ht="22.5">
      <c r="B204" s="15">
        <v>192</v>
      </c>
      <c r="C204" s="15"/>
      <c r="D204" s="21" t="str">
        <f t="shared" si="7"/>
        <v/>
      </c>
      <c r="E204" s="60"/>
      <c r="F204" s="110" t="str">
        <f t="shared" si="8"/>
        <v/>
      </c>
      <c r="G204" s="60"/>
      <c r="H204" s="60"/>
      <c r="I204" s="60"/>
      <c r="J204" s="88"/>
      <c r="K204" s="89"/>
      <c r="L204" s="90"/>
      <c r="M204" s="10" t="b">
        <f t="shared" si="6"/>
        <v>0</v>
      </c>
    </row>
    <row r="205" spans="2:13" ht="22.5">
      <c r="B205" s="15">
        <v>193</v>
      </c>
      <c r="C205" s="15"/>
      <c r="D205" s="21" t="str">
        <f t="shared" si="7"/>
        <v/>
      </c>
      <c r="E205" s="60"/>
      <c r="F205" s="110" t="str">
        <f t="shared" si="8"/>
        <v/>
      </c>
      <c r="G205" s="60"/>
      <c r="H205" s="60"/>
      <c r="I205" s="60"/>
      <c r="J205" s="88"/>
      <c r="K205" s="89"/>
      <c r="L205" s="90"/>
      <c r="M205" s="10" t="b">
        <f t="shared" ref="M205:M268" si="9">IF(COUNTA(E205,G205)=0,FALSE,TRUE)</f>
        <v>0</v>
      </c>
    </row>
    <row r="206" spans="2:13" ht="22.5">
      <c r="B206" s="15">
        <v>194</v>
      </c>
      <c r="C206" s="15"/>
      <c r="D206" s="21" t="str">
        <f t="shared" ref="D206:D269" si="10">IF(LEN(E206)=0,"",IF((AND(ISNUMBER(VALUE(E206)),LEN(E206)=12)),3,IF(AND(ISNUMBER(VALUE(E206)),(LEN(E206)=10)),1,IF(AND(OR((LEFT(E206)="R"),(LEFT(E206)="R")),(ISNUMBER(VALUE(RIGHT(E206,9)))),(LEN(E206)=10)),2,FALSE))))</f>
        <v/>
      </c>
      <c r="E206" s="60"/>
      <c r="F206" s="110" t="str">
        <f t="shared" ref="F206:F269" si="11">IF(D206=FALSE,"←ご確認ください",IF(OR(D206=1,D206=2,D206=3),"形式OK",""))</f>
        <v/>
      </c>
      <c r="G206" s="60"/>
      <c r="H206" s="60"/>
      <c r="I206" s="60"/>
      <c r="J206" s="88"/>
      <c r="K206" s="89"/>
      <c r="L206" s="90"/>
      <c r="M206" s="10" t="b">
        <f t="shared" si="9"/>
        <v>0</v>
      </c>
    </row>
    <row r="207" spans="2:13" ht="22.5">
      <c r="B207" s="15">
        <v>195</v>
      </c>
      <c r="C207" s="15"/>
      <c r="D207" s="21" t="str">
        <f t="shared" si="10"/>
        <v/>
      </c>
      <c r="E207" s="60"/>
      <c r="F207" s="110" t="str">
        <f t="shared" si="11"/>
        <v/>
      </c>
      <c r="G207" s="60"/>
      <c r="H207" s="60"/>
      <c r="I207" s="60"/>
      <c r="J207" s="88"/>
      <c r="K207" s="89"/>
      <c r="L207" s="90"/>
      <c r="M207" s="10" t="b">
        <f t="shared" si="9"/>
        <v>0</v>
      </c>
    </row>
    <row r="208" spans="2:13" ht="22.5">
      <c r="B208" s="15">
        <v>196</v>
      </c>
      <c r="C208" s="15"/>
      <c r="D208" s="21" t="str">
        <f t="shared" si="10"/>
        <v/>
      </c>
      <c r="E208" s="60"/>
      <c r="F208" s="110" t="str">
        <f t="shared" si="11"/>
        <v/>
      </c>
      <c r="G208" s="60"/>
      <c r="H208" s="60"/>
      <c r="I208" s="60"/>
      <c r="J208" s="88"/>
      <c r="K208" s="89"/>
      <c r="L208" s="90"/>
      <c r="M208" s="10" t="b">
        <f t="shared" si="9"/>
        <v>0</v>
      </c>
    </row>
    <row r="209" spans="2:13" ht="22.5">
      <c r="B209" s="15">
        <v>197</v>
      </c>
      <c r="C209" s="15"/>
      <c r="D209" s="21" t="str">
        <f t="shared" si="10"/>
        <v/>
      </c>
      <c r="E209" s="60"/>
      <c r="F209" s="110" t="str">
        <f t="shared" si="11"/>
        <v/>
      </c>
      <c r="G209" s="60"/>
      <c r="H209" s="60"/>
      <c r="I209" s="60"/>
      <c r="J209" s="88"/>
      <c r="K209" s="89"/>
      <c r="L209" s="90"/>
      <c r="M209" s="10" t="b">
        <f t="shared" si="9"/>
        <v>0</v>
      </c>
    </row>
    <row r="210" spans="2:13" ht="22.5">
      <c r="B210" s="15">
        <v>198</v>
      </c>
      <c r="C210" s="15"/>
      <c r="D210" s="21" t="str">
        <f t="shared" si="10"/>
        <v/>
      </c>
      <c r="E210" s="60"/>
      <c r="F210" s="110" t="str">
        <f t="shared" si="11"/>
        <v/>
      </c>
      <c r="G210" s="60"/>
      <c r="H210" s="60"/>
      <c r="I210" s="60"/>
      <c r="J210" s="88"/>
      <c r="K210" s="89"/>
      <c r="L210" s="90"/>
      <c r="M210" s="10" t="b">
        <f t="shared" si="9"/>
        <v>0</v>
      </c>
    </row>
    <row r="211" spans="2:13" ht="22.5">
      <c r="B211" s="15">
        <v>199</v>
      </c>
      <c r="C211" s="15"/>
      <c r="D211" s="21" t="str">
        <f t="shared" si="10"/>
        <v/>
      </c>
      <c r="E211" s="60"/>
      <c r="F211" s="110" t="str">
        <f t="shared" si="11"/>
        <v/>
      </c>
      <c r="G211" s="60"/>
      <c r="H211" s="60"/>
      <c r="I211" s="60"/>
      <c r="J211" s="88"/>
      <c r="K211" s="89"/>
      <c r="L211" s="90"/>
      <c r="M211" s="10" t="b">
        <f t="shared" si="9"/>
        <v>0</v>
      </c>
    </row>
    <row r="212" spans="2:13" ht="22.5">
      <c r="B212" s="15">
        <v>200</v>
      </c>
      <c r="C212" s="15"/>
      <c r="D212" s="21" t="str">
        <f t="shared" si="10"/>
        <v/>
      </c>
      <c r="E212" s="60"/>
      <c r="F212" s="110" t="str">
        <f t="shared" si="11"/>
        <v/>
      </c>
      <c r="G212" s="60"/>
      <c r="H212" s="60"/>
      <c r="I212" s="60"/>
      <c r="J212" s="88"/>
      <c r="K212" s="89"/>
      <c r="L212" s="90"/>
      <c r="M212" s="10" t="b">
        <f t="shared" si="9"/>
        <v>0</v>
      </c>
    </row>
    <row r="213" spans="2:13" ht="22.5">
      <c r="B213" s="15">
        <v>201</v>
      </c>
      <c r="C213" s="15"/>
      <c r="D213" s="21" t="str">
        <f t="shared" si="10"/>
        <v/>
      </c>
      <c r="E213" s="60"/>
      <c r="F213" s="110" t="str">
        <f t="shared" si="11"/>
        <v/>
      </c>
      <c r="G213" s="60"/>
      <c r="H213" s="60"/>
      <c r="I213" s="60"/>
      <c r="J213" s="88"/>
      <c r="K213" s="89"/>
      <c r="L213" s="90"/>
      <c r="M213" s="10" t="b">
        <f t="shared" si="9"/>
        <v>0</v>
      </c>
    </row>
    <row r="214" spans="2:13" ht="22.5">
      <c r="B214" s="15">
        <v>202</v>
      </c>
      <c r="C214" s="15"/>
      <c r="D214" s="21" t="str">
        <f t="shared" si="10"/>
        <v/>
      </c>
      <c r="E214" s="60"/>
      <c r="F214" s="110" t="str">
        <f t="shared" si="11"/>
        <v/>
      </c>
      <c r="G214" s="60"/>
      <c r="H214" s="60"/>
      <c r="I214" s="60"/>
      <c r="J214" s="88"/>
      <c r="K214" s="89"/>
      <c r="L214" s="90"/>
      <c r="M214" s="10" t="b">
        <f t="shared" si="9"/>
        <v>0</v>
      </c>
    </row>
    <row r="215" spans="2:13" ht="22.5">
      <c r="B215" s="15">
        <v>203</v>
      </c>
      <c r="C215" s="15"/>
      <c r="D215" s="21" t="str">
        <f t="shared" si="10"/>
        <v/>
      </c>
      <c r="E215" s="60"/>
      <c r="F215" s="110" t="str">
        <f t="shared" si="11"/>
        <v/>
      </c>
      <c r="G215" s="60"/>
      <c r="H215" s="60"/>
      <c r="I215" s="60"/>
      <c r="J215" s="88"/>
      <c r="K215" s="89"/>
      <c r="L215" s="90"/>
      <c r="M215" s="10" t="b">
        <f t="shared" si="9"/>
        <v>0</v>
      </c>
    </row>
    <row r="216" spans="2:13" ht="22.5">
      <c r="B216" s="15">
        <v>204</v>
      </c>
      <c r="C216" s="15"/>
      <c r="D216" s="21" t="str">
        <f t="shared" si="10"/>
        <v/>
      </c>
      <c r="E216" s="60"/>
      <c r="F216" s="110" t="str">
        <f t="shared" si="11"/>
        <v/>
      </c>
      <c r="G216" s="60"/>
      <c r="H216" s="60"/>
      <c r="I216" s="60"/>
      <c r="J216" s="88"/>
      <c r="K216" s="89"/>
      <c r="L216" s="90"/>
      <c r="M216" s="10" t="b">
        <f t="shared" si="9"/>
        <v>0</v>
      </c>
    </row>
    <row r="217" spans="2:13" ht="22.5">
      <c r="B217" s="15">
        <v>205</v>
      </c>
      <c r="C217" s="15"/>
      <c r="D217" s="21" t="str">
        <f t="shared" si="10"/>
        <v/>
      </c>
      <c r="E217" s="60"/>
      <c r="F217" s="110" t="str">
        <f t="shared" si="11"/>
        <v/>
      </c>
      <c r="G217" s="60"/>
      <c r="H217" s="60"/>
      <c r="I217" s="60"/>
      <c r="J217" s="88"/>
      <c r="K217" s="89"/>
      <c r="L217" s="90"/>
      <c r="M217" s="10" t="b">
        <f t="shared" si="9"/>
        <v>0</v>
      </c>
    </row>
    <row r="218" spans="2:13" ht="22.5">
      <c r="B218" s="15">
        <v>206</v>
      </c>
      <c r="C218" s="15"/>
      <c r="D218" s="21" t="str">
        <f t="shared" si="10"/>
        <v/>
      </c>
      <c r="E218" s="60"/>
      <c r="F218" s="110" t="str">
        <f t="shared" si="11"/>
        <v/>
      </c>
      <c r="G218" s="60"/>
      <c r="H218" s="60"/>
      <c r="I218" s="60"/>
      <c r="J218" s="88"/>
      <c r="K218" s="89"/>
      <c r="L218" s="90"/>
      <c r="M218" s="10" t="b">
        <f t="shared" si="9"/>
        <v>0</v>
      </c>
    </row>
    <row r="219" spans="2:13" ht="22.5">
      <c r="B219" s="15">
        <v>207</v>
      </c>
      <c r="C219" s="15"/>
      <c r="D219" s="21" t="str">
        <f t="shared" si="10"/>
        <v/>
      </c>
      <c r="E219" s="60"/>
      <c r="F219" s="110" t="str">
        <f t="shared" si="11"/>
        <v/>
      </c>
      <c r="G219" s="60"/>
      <c r="H219" s="60"/>
      <c r="I219" s="60"/>
      <c r="J219" s="88"/>
      <c r="K219" s="89"/>
      <c r="L219" s="90"/>
      <c r="M219" s="10" t="b">
        <f t="shared" si="9"/>
        <v>0</v>
      </c>
    </row>
    <row r="220" spans="2:13" ht="22.5">
      <c r="B220" s="15">
        <v>208</v>
      </c>
      <c r="C220" s="15"/>
      <c r="D220" s="21" t="str">
        <f t="shared" si="10"/>
        <v/>
      </c>
      <c r="E220" s="60"/>
      <c r="F220" s="110" t="str">
        <f t="shared" si="11"/>
        <v/>
      </c>
      <c r="G220" s="60"/>
      <c r="H220" s="60"/>
      <c r="I220" s="60"/>
      <c r="J220" s="88"/>
      <c r="K220" s="89"/>
      <c r="L220" s="90"/>
      <c r="M220" s="10" t="b">
        <f t="shared" si="9"/>
        <v>0</v>
      </c>
    </row>
    <row r="221" spans="2:13" ht="22.5">
      <c r="B221" s="15">
        <v>209</v>
      </c>
      <c r="C221" s="15"/>
      <c r="D221" s="21" t="str">
        <f t="shared" si="10"/>
        <v/>
      </c>
      <c r="E221" s="60"/>
      <c r="F221" s="110" t="str">
        <f t="shared" si="11"/>
        <v/>
      </c>
      <c r="G221" s="60"/>
      <c r="H221" s="60"/>
      <c r="I221" s="60"/>
      <c r="J221" s="88"/>
      <c r="K221" s="89"/>
      <c r="L221" s="90"/>
      <c r="M221" s="10" t="b">
        <f t="shared" si="9"/>
        <v>0</v>
      </c>
    </row>
    <row r="222" spans="2:13" ht="22.5">
      <c r="B222" s="15">
        <v>210</v>
      </c>
      <c r="C222" s="15"/>
      <c r="D222" s="21" t="str">
        <f t="shared" si="10"/>
        <v/>
      </c>
      <c r="E222" s="60"/>
      <c r="F222" s="110" t="str">
        <f t="shared" si="11"/>
        <v/>
      </c>
      <c r="G222" s="60"/>
      <c r="H222" s="60"/>
      <c r="I222" s="60"/>
      <c r="J222" s="88"/>
      <c r="K222" s="89"/>
      <c r="L222" s="90"/>
      <c r="M222" s="10" t="b">
        <f t="shared" si="9"/>
        <v>0</v>
      </c>
    </row>
    <row r="223" spans="2:13" ht="22.5">
      <c r="B223" s="15">
        <v>211</v>
      </c>
      <c r="C223" s="15"/>
      <c r="D223" s="21" t="str">
        <f t="shared" si="10"/>
        <v/>
      </c>
      <c r="E223" s="60"/>
      <c r="F223" s="110" t="str">
        <f t="shared" si="11"/>
        <v/>
      </c>
      <c r="G223" s="60"/>
      <c r="H223" s="60"/>
      <c r="I223" s="60"/>
      <c r="J223" s="88"/>
      <c r="K223" s="89"/>
      <c r="L223" s="90"/>
      <c r="M223" s="10" t="b">
        <f t="shared" si="9"/>
        <v>0</v>
      </c>
    </row>
    <row r="224" spans="2:13" ht="22.5">
      <c r="B224" s="15">
        <v>212</v>
      </c>
      <c r="C224" s="15"/>
      <c r="D224" s="21" t="str">
        <f t="shared" si="10"/>
        <v/>
      </c>
      <c r="E224" s="60"/>
      <c r="F224" s="110" t="str">
        <f t="shared" si="11"/>
        <v/>
      </c>
      <c r="G224" s="60"/>
      <c r="H224" s="60"/>
      <c r="I224" s="60"/>
      <c r="J224" s="88"/>
      <c r="K224" s="89"/>
      <c r="L224" s="90"/>
      <c r="M224" s="10" t="b">
        <f t="shared" si="9"/>
        <v>0</v>
      </c>
    </row>
    <row r="225" spans="2:13" ht="22.5">
      <c r="B225" s="15">
        <v>213</v>
      </c>
      <c r="C225" s="15"/>
      <c r="D225" s="21" t="str">
        <f t="shared" si="10"/>
        <v/>
      </c>
      <c r="E225" s="60"/>
      <c r="F225" s="110" t="str">
        <f t="shared" si="11"/>
        <v/>
      </c>
      <c r="G225" s="60"/>
      <c r="H225" s="60"/>
      <c r="I225" s="60"/>
      <c r="J225" s="88"/>
      <c r="K225" s="89"/>
      <c r="L225" s="90"/>
      <c r="M225" s="10" t="b">
        <f t="shared" si="9"/>
        <v>0</v>
      </c>
    </row>
    <row r="226" spans="2:13" ht="22.5">
      <c r="B226" s="15">
        <v>214</v>
      </c>
      <c r="C226" s="15"/>
      <c r="D226" s="21" t="str">
        <f t="shared" si="10"/>
        <v/>
      </c>
      <c r="E226" s="60"/>
      <c r="F226" s="110" t="str">
        <f t="shared" si="11"/>
        <v/>
      </c>
      <c r="G226" s="60"/>
      <c r="H226" s="60"/>
      <c r="I226" s="60"/>
      <c r="J226" s="88"/>
      <c r="K226" s="89"/>
      <c r="L226" s="90"/>
      <c r="M226" s="10" t="b">
        <f t="shared" si="9"/>
        <v>0</v>
      </c>
    </row>
    <row r="227" spans="2:13" ht="22.5">
      <c r="B227" s="15">
        <v>215</v>
      </c>
      <c r="C227" s="15"/>
      <c r="D227" s="21" t="str">
        <f t="shared" si="10"/>
        <v/>
      </c>
      <c r="E227" s="60"/>
      <c r="F227" s="110" t="str">
        <f t="shared" si="11"/>
        <v/>
      </c>
      <c r="G227" s="60"/>
      <c r="H227" s="60"/>
      <c r="I227" s="60"/>
      <c r="J227" s="88"/>
      <c r="K227" s="89"/>
      <c r="L227" s="90"/>
      <c r="M227" s="10" t="b">
        <f t="shared" si="9"/>
        <v>0</v>
      </c>
    </row>
    <row r="228" spans="2:13" ht="22.5">
      <c r="B228" s="15">
        <v>216</v>
      </c>
      <c r="C228" s="15"/>
      <c r="D228" s="21" t="str">
        <f t="shared" si="10"/>
        <v/>
      </c>
      <c r="E228" s="60"/>
      <c r="F228" s="110" t="str">
        <f t="shared" si="11"/>
        <v/>
      </c>
      <c r="G228" s="60"/>
      <c r="H228" s="60"/>
      <c r="I228" s="60"/>
      <c r="J228" s="88"/>
      <c r="K228" s="89"/>
      <c r="L228" s="90"/>
      <c r="M228" s="10" t="b">
        <f t="shared" si="9"/>
        <v>0</v>
      </c>
    </row>
    <row r="229" spans="2:13" ht="22.5">
      <c r="B229" s="15">
        <v>217</v>
      </c>
      <c r="C229" s="15"/>
      <c r="D229" s="21" t="str">
        <f t="shared" si="10"/>
        <v/>
      </c>
      <c r="E229" s="60"/>
      <c r="F229" s="110" t="str">
        <f t="shared" si="11"/>
        <v/>
      </c>
      <c r="G229" s="60"/>
      <c r="H229" s="60"/>
      <c r="I229" s="60"/>
      <c r="J229" s="88"/>
      <c r="K229" s="89"/>
      <c r="L229" s="90"/>
      <c r="M229" s="10" t="b">
        <f t="shared" si="9"/>
        <v>0</v>
      </c>
    </row>
    <row r="230" spans="2:13" ht="22.5">
      <c r="B230" s="15">
        <v>218</v>
      </c>
      <c r="C230" s="15"/>
      <c r="D230" s="21" t="str">
        <f t="shared" si="10"/>
        <v/>
      </c>
      <c r="E230" s="60"/>
      <c r="F230" s="110" t="str">
        <f t="shared" si="11"/>
        <v/>
      </c>
      <c r="G230" s="60"/>
      <c r="H230" s="60"/>
      <c r="I230" s="60"/>
      <c r="J230" s="88"/>
      <c r="K230" s="89"/>
      <c r="L230" s="90"/>
      <c r="M230" s="10" t="b">
        <f t="shared" si="9"/>
        <v>0</v>
      </c>
    </row>
    <row r="231" spans="2:13" ht="22.5">
      <c r="B231" s="15">
        <v>219</v>
      </c>
      <c r="C231" s="15"/>
      <c r="D231" s="21" t="str">
        <f t="shared" si="10"/>
        <v/>
      </c>
      <c r="E231" s="60"/>
      <c r="F231" s="110" t="str">
        <f t="shared" si="11"/>
        <v/>
      </c>
      <c r="G231" s="60"/>
      <c r="H231" s="60"/>
      <c r="I231" s="60"/>
      <c r="J231" s="88"/>
      <c r="K231" s="89"/>
      <c r="L231" s="90"/>
      <c r="M231" s="10" t="b">
        <f t="shared" si="9"/>
        <v>0</v>
      </c>
    </row>
    <row r="232" spans="2:13" ht="22.5">
      <c r="B232" s="15">
        <v>220</v>
      </c>
      <c r="C232" s="15"/>
      <c r="D232" s="21" t="str">
        <f t="shared" si="10"/>
        <v/>
      </c>
      <c r="E232" s="60"/>
      <c r="F232" s="110" t="str">
        <f t="shared" si="11"/>
        <v/>
      </c>
      <c r="G232" s="60"/>
      <c r="H232" s="60"/>
      <c r="I232" s="60"/>
      <c r="J232" s="88"/>
      <c r="K232" s="89"/>
      <c r="L232" s="90"/>
      <c r="M232" s="10" t="b">
        <f t="shared" si="9"/>
        <v>0</v>
      </c>
    </row>
    <row r="233" spans="2:13" ht="22.5">
      <c r="B233" s="15">
        <v>221</v>
      </c>
      <c r="C233" s="15"/>
      <c r="D233" s="21" t="str">
        <f t="shared" si="10"/>
        <v/>
      </c>
      <c r="E233" s="60"/>
      <c r="F233" s="110" t="str">
        <f t="shared" si="11"/>
        <v/>
      </c>
      <c r="G233" s="60"/>
      <c r="H233" s="60"/>
      <c r="I233" s="60"/>
      <c r="J233" s="88"/>
      <c r="K233" s="89"/>
      <c r="L233" s="90"/>
      <c r="M233" s="10" t="b">
        <f t="shared" si="9"/>
        <v>0</v>
      </c>
    </row>
    <row r="234" spans="2:13" ht="22.5">
      <c r="B234" s="15">
        <v>222</v>
      </c>
      <c r="C234" s="15"/>
      <c r="D234" s="21" t="str">
        <f t="shared" si="10"/>
        <v/>
      </c>
      <c r="E234" s="60"/>
      <c r="F234" s="110" t="str">
        <f t="shared" si="11"/>
        <v/>
      </c>
      <c r="G234" s="60"/>
      <c r="H234" s="60"/>
      <c r="I234" s="60"/>
      <c r="J234" s="88"/>
      <c r="K234" s="89"/>
      <c r="L234" s="90"/>
      <c r="M234" s="10" t="b">
        <f t="shared" si="9"/>
        <v>0</v>
      </c>
    </row>
    <row r="235" spans="2:13" ht="22.5">
      <c r="B235" s="15">
        <v>223</v>
      </c>
      <c r="C235" s="15"/>
      <c r="D235" s="21" t="str">
        <f t="shared" si="10"/>
        <v/>
      </c>
      <c r="E235" s="60"/>
      <c r="F235" s="110" t="str">
        <f t="shared" si="11"/>
        <v/>
      </c>
      <c r="G235" s="60"/>
      <c r="H235" s="60"/>
      <c r="I235" s="60"/>
      <c r="J235" s="88"/>
      <c r="K235" s="89"/>
      <c r="L235" s="90"/>
      <c r="M235" s="10" t="b">
        <f t="shared" si="9"/>
        <v>0</v>
      </c>
    </row>
    <row r="236" spans="2:13" ht="22.5">
      <c r="B236" s="15">
        <v>224</v>
      </c>
      <c r="C236" s="15"/>
      <c r="D236" s="21" t="str">
        <f t="shared" si="10"/>
        <v/>
      </c>
      <c r="E236" s="60"/>
      <c r="F236" s="110" t="str">
        <f t="shared" si="11"/>
        <v/>
      </c>
      <c r="G236" s="60"/>
      <c r="H236" s="60"/>
      <c r="I236" s="60"/>
      <c r="J236" s="88"/>
      <c r="K236" s="89"/>
      <c r="L236" s="90"/>
      <c r="M236" s="10" t="b">
        <f t="shared" si="9"/>
        <v>0</v>
      </c>
    </row>
    <row r="237" spans="2:13" ht="22.5">
      <c r="B237" s="15">
        <v>225</v>
      </c>
      <c r="C237" s="15"/>
      <c r="D237" s="21" t="str">
        <f t="shared" si="10"/>
        <v/>
      </c>
      <c r="E237" s="60"/>
      <c r="F237" s="110" t="str">
        <f t="shared" si="11"/>
        <v/>
      </c>
      <c r="G237" s="60"/>
      <c r="H237" s="60"/>
      <c r="I237" s="60"/>
      <c r="J237" s="88"/>
      <c r="K237" s="89"/>
      <c r="L237" s="90"/>
      <c r="M237" s="10" t="b">
        <f t="shared" si="9"/>
        <v>0</v>
      </c>
    </row>
    <row r="238" spans="2:13" ht="22.5">
      <c r="B238" s="15">
        <v>226</v>
      </c>
      <c r="C238" s="15"/>
      <c r="D238" s="21" t="str">
        <f t="shared" si="10"/>
        <v/>
      </c>
      <c r="E238" s="60"/>
      <c r="F238" s="110" t="str">
        <f t="shared" si="11"/>
        <v/>
      </c>
      <c r="G238" s="60"/>
      <c r="H238" s="60"/>
      <c r="I238" s="60"/>
      <c r="J238" s="88"/>
      <c r="K238" s="89"/>
      <c r="L238" s="90"/>
      <c r="M238" s="10" t="b">
        <f t="shared" si="9"/>
        <v>0</v>
      </c>
    </row>
    <row r="239" spans="2:13" ht="22.5">
      <c r="B239" s="15">
        <v>227</v>
      </c>
      <c r="C239" s="15"/>
      <c r="D239" s="21" t="str">
        <f t="shared" si="10"/>
        <v/>
      </c>
      <c r="E239" s="60"/>
      <c r="F239" s="110" t="str">
        <f t="shared" si="11"/>
        <v/>
      </c>
      <c r="G239" s="60"/>
      <c r="H239" s="60"/>
      <c r="I239" s="60"/>
      <c r="J239" s="88"/>
      <c r="K239" s="89"/>
      <c r="L239" s="90"/>
      <c r="M239" s="10" t="b">
        <f t="shared" si="9"/>
        <v>0</v>
      </c>
    </row>
    <row r="240" spans="2:13" ht="22.5">
      <c r="B240" s="15">
        <v>228</v>
      </c>
      <c r="C240" s="15"/>
      <c r="D240" s="21" t="str">
        <f t="shared" si="10"/>
        <v/>
      </c>
      <c r="E240" s="60"/>
      <c r="F240" s="110" t="str">
        <f t="shared" si="11"/>
        <v/>
      </c>
      <c r="G240" s="60"/>
      <c r="H240" s="60"/>
      <c r="I240" s="60"/>
      <c r="J240" s="88"/>
      <c r="K240" s="89"/>
      <c r="L240" s="90"/>
      <c r="M240" s="10" t="b">
        <f t="shared" si="9"/>
        <v>0</v>
      </c>
    </row>
    <row r="241" spans="2:13" ht="22.5">
      <c r="B241" s="15">
        <v>229</v>
      </c>
      <c r="C241" s="15"/>
      <c r="D241" s="21" t="str">
        <f t="shared" si="10"/>
        <v/>
      </c>
      <c r="E241" s="60"/>
      <c r="F241" s="110" t="str">
        <f t="shared" si="11"/>
        <v/>
      </c>
      <c r="G241" s="60"/>
      <c r="H241" s="60"/>
      <c r="I241" s="60"/>
      <c r="J241" s="88"/>
      <c r="K241" s="89"/>
      <c r="L241" s="90"/>
      <c r="M241" s="10" t="b">
        <f t="shared" si="9"/>
        <v>0</v>
      </c>
    </row>
    <row r="242" spans="2:13" ht="22.5">
      <c r="B242" s="15">
        <v>230</v>
      </c>
      <c r="C242" s="15"/>
      <c r="D242" s="21" t="str">
        <f t="shared" si="10"/>
        <v/>
      </c>
      <c r="E242" s="60"/>
      <c r="F242" s="110" t="str">
        <f t="shared" si="11"/>
        <v/>
      </c>
      <c r="G242" s="60"/>
      <c r="H242" s="60"/>
      <c r="I242" s="60"/>
      <c r="J242" s="88"/>
      <c r="K242" s="89"/>
      <c r="L242" s="90"/>
      <c r="M242" s="10" t="b">
        <f t="shared" si="9"/>
        <v>0</v>
      </c>
    </row>
    <row r="243" spans="2:13" ht="22.5">
      <c r="B243" s="15">
        <v>231</v>
      </c>
      <c r="C243" s="15"/>
      <c r="D243" s="21" t="str">
        <f t="shared" si="10"/>
        <v/>
      </c>
      <c r="E243" s="60"/>
      <c r="F243" s="110" t="str">
        <f t="shared" si="11"/>
        <v/>
      </c>
      <c r="G243" s="60"/>
      <c r="H243" s="60"/>
      <c r="I243" s="60"/>
      <c r="J243" s="88"/>
      <c r="K243" s="89"/>
      <c r="L243" s="90"/>
      <c r="M243" s="10" t="b">
        <f t="shared" si="9"/>
        <v>0</v>
      </c>
    </row>
    <row r="244" spans="2:13" ht="22.5">
      <c r="B244" s="15">
        <v>232</v>
      </c>
      <c r="C244" s="15"/>
      <c r="D244" s="21" t="str">
        <f t="shared" si="10"/>
        <v/>
      </c>
      <c r="E244" s="60"/>
      <c r="F244" s="110" t="str">
        <f t="shared" si="11"/>
        <v/>
      </c>
      <c r="G244" s="60"/>
      <c r="H244" s="60"/>
      <c r="I244" s="60"/>
      <c r="J244" s="88"/>
      <c r="K244" s="89"/>
      <c r="L244" s="90"/>
      <c r="M244" s="10" t="b">
        <f t="shared" si="9"/>
        <v>0</v>
      </c>
    </row>
    <row r="245" spans="2:13" ht="22.5">
      <c r="B245" s="15">
        <v>233</v>
      </c>
      <c r="C245" s="15"/>
      <c r="D245" s="21" t="str">
        <f t="shared" si="10"/>
        <v/>
      </c>
      <c r="E245" s="60"/>
      <c r="F245" s="110" t="str">
        <f t="shared" si="11"/>
        <v/>
      </c>
      <c r="G245" s="60"/>
      <c r="H245" s="60"/>
      <c r="I245" s="60"/>
      <c r="J245" s="88"/>
      <c r="K245" s="89"/>
      <c r="L245" s="90"/>
      <c r="M245" s="10" t="b">
        <f t="shared" si="9"/>
        <v>0</v>
      </c>
    </row>
    <row r="246" spans="2:13" ht="22.5">
      <c r="B246" s="15">
        <v>234</v>
      </c>
      <c r="C246" s="15"/>
      <c r="D246" s="21" t="str">
        <f t="shared" si="10"/>
        <v/>
      </c>
      <c r="E246" s="60"/>
      <c r="F246" s="110" t="str">
        <f t="shared" si="11"/>
        <v/>
      </c>
      <c r="G246" s="60"/>
      <c r="H246" s="60"/>
      <c r="I246" s="60"/>
      <c r="J246" s="88"/>
      <c r="K246" s="89"/>
      <c r="L246" s="90"/>
      <c r="M246" s="10" t="b">
        <f t="shared" si="9"/>
        <v>0</v>
      </c>
    </row>
    <row r="247" spans="2:13" ht="22.5">
      <c r="B247" s="15">
        <v>235</v>
      </c>
      <c r="C247" s="15"/>
      <c r="D247" s="21" t="str">
        <f t="shared" si="10"/>
        <v/>
      </c>
      <c r="E247" s="60"/>
      <c r="F247" s="110" t="str">
        <f t="shared" si="11"/>
        <v/>
      </c>
      <c r="G247" s="60"/>
      <c r="H247" s="60"/>
      <c r="I247" s="60"/>
      <c r="J247" s="88"/>
      <c r="K247" s="89"/>
      <c r="L247" s="90"/>
      <c r="M247" s="10" t="b">
        <f t="shared" si="9"/>
        <v>0</v>
      </c>
    </row>
    <row r="248" spans="2:13" ht="22.5">
      <c r="B248" s="15">
        <v>236</v>
      </c>
      <c r="C248" s="15"/>
      <c r="D248" s="21" t="str">
        <f t="shared" si="10"/>
        <v/>
      </c>
      <c r="E248" s="60"/>
      <c r="F248" s="110" t="str">
        <f t="shared" si="11"/>
        <v/>
      </c>
      <c r="G248" s="60"/>
      <c r="H248" s="60"/>
      <c r="I248" s="60"/>
      <c r="J248" s="88"/>
      <c r="K248" s="89"/>
      <c r="L248" s="90"/>
      <c r="M248" s="10" t="b">
        <f t="shared" si="9"/>
        <v>0</v>
      </c>
    </row>
    <row r="249" spans="2:13" ht="22.5">
      <c r="B249" s="15">
        <v>237</v>
      </c>
      <c r="C249" s="15"/>
      <c r="D249" s="21" t="str">
        <f t="shared" si="10"/>
        <v/>
      </c>
      <c r="E249" s="60"/>
      <c r="F249" s="110" t="str">
        <f t="shared" si="11"/>
        <v/>
      </c>
      <c r="G249" s="60"/>
      <c r="H249" s="60"/>
      <c r="I249" s="60"/>
      <c r="J249" s="88"/>
      <c r="K249" s="89"/>
      <c r="L249" s="90"/>
      <c r="M249" s="10" t="b">
        <f t="shared" si="9"/>
        <v>0</v>
      </c>
    </row>
    <row r="250" spans="2:13" ht="22.5">
      <c r="B250" s="15">
        <v>238</v>
      </c>
      <c r="C250" s="15"/>
      <c r="D250" s="21" t="str">
        <f t="shared" si="10"/>
        <v/>
      </c>
      <c r="E250" s="60"/>
      <c r="F250" s="110" t="str">
        <f t="shared" si="11"/>
        <v/>
      </c>
      <c r="G250" s="60"/>
      <c r="H250" s="60"/>
      <c r="I250" s="60"/>
      <c r="J250" s="88"/>
      <c r="K250" s="89"/>
      <c r="L250" s="90"/>
      <c r="M250" s="10" t="b">
        <f t="shared" si="9"/>
        <v>0</v>
      </c>
    </row>
    <row r="251" spans="2:13" ht="22.5">
      <c r="B251" s="15">
        <v>239</v>
      </c>
      <c r="C251" s="15"/>
      <c r="D251" s="21" t="str">
        <f t="shared" si="10"/>
        <v/>
      </c>
      <c r="E251" s="60"/>
      <c r="F251" s="110" t="str">
        <f t="shared" si="11"/>
        <v/>
      </c>
      <c r="G251" s="60"/>
      <c r="H251" s="60"/>
      <c r="I251" s="60"/>
      <c r="J251" s="88"/>
      <c r="K251" s="89"/>
      <c r="L251" s="90"/>
      <c r="M251" s="10" t="b">
        <f t="shared" si="9"/>
        <v>0</v>
      </c>
    </row>
    <row r="252" spans="2:13" ht="22.5">
      <c r="B252" s="15">
        <v>240</v>
      </c>
      <c r="C252" s="15"/>
      <c r="D252" s="21" t="str">
        <f t="shared" si="10"/>
        <v/>
      </c>
      <c r="E252" s="60"/>
      <c r="F252" s="110" t="str">
        <f t="shared" si="11"/>
        <v/>
      </c>
      <c r="G252" s="60"/>
      <c r="H252" s="60"/>
      <c r="I252" s="60"/>
      <c r="J252" s="88"/>
      <c r="K252" s="89"/>
      <c r="L252" s="90"/>
      <c r="M252" s="10" t="b">
        <f t="shared" si="9"/>
        <v>0</v>
      </c>
    </row>
    <row r="253" spans="2:13" ht="22.5">
      <c r="B253" s="15">
        <v>241</v>
      </c>
      <c r="C253" s="15"/>
      <c r="D253" s="21" t="str">
        <f t="shared" si="10"/>
        <v/>
      </c>
      <c r="E253" s="60"/>
      <c r="F253" s="110" t="str">
        <f t="shared" si="11"/>
        <v/>
      </c>
      <c r="G253" s="60"/>
      <c r="H253" s="60"/>
      <c r="I253" s="60"/>
      <c r="J253" s="88"/>
      <c r="K253" s="89"/>
      <c r="L253" s="90"/>
      <c r="M253" s="10" t="b">
        <f t="shared" si="9"/>
        <v>0</v>
      </c>
    </row>
    <row r="254" spans="2:13" ht="22.5">
      <c r="B254" s="15">
        <v>242</v>
      </c>
      <c r="C254" s="15"/>
      <c r="D254" s="21" t="str">
        <f t="shared" si="10"/>
        <v/>
      </c>
      <c r="E254" s="60"/>
      <c r="F254" s="110" t="str">
        <f t="shared" si="11"/>
        <v/>
      </c>
      <c r="G254" s="60"/>
      <c r="H254" s="60"/>
      <c r="I254" s="60"/>
      <c r="J254" s="88"/>
      <c r="K254" s="89"/>
      <c r="L254" s="90"/>
      <c r="M254" s="10" t="b">
        <f t="shared" si="9"/>
        <v>0</v>
      </c>
    </row>
    <row r="255" spans="2:13" ht="22.5">
      <c r="B255" s="15">
        <v>243</v>
      </c>
      <c r="C255" s="15"/>
      <c r="D255" s="21" t="str">
        <f t="shared" si="10"/>
        <v/>
      </c>
      <c r="E255" s="60"/>
      <c r="F255" s="110" t="str">
        <f t="shared" si="11"/>
        <v/>
      </c>
      <c r="G255" s="60"/>
      <c r="H255" s="60"/>
      <c r="I255" s="60"/>
      <c r="J255" s="88"/>
      <c r="K255" s="89"/>
      <c r="L255" s="90"/>
      <c r="M255" s="10" t="b">
        <f t="shared" si="9"/>
        <v>0</v>
      </c>
    </row>
    <row r="256" spans="2:13" ht="22.5">
      <c r="B256" s="15">
        <v>244</v>
      </c>
      <c r="C256" s="15"/>
      <c r="D256" s="21" t="str">
        <f t="shared" si="10"/>
        <v/>
      </c>
      <c r="E256" s="60"/>
      <c r="F256" s="110" t="str">
        <f t="shared" si="11"/>
        <v/>
      </c>
      <c r="G256" s="60"/>
      <c r="H256" s="60"/>
      <c r="I256" s="60"/>
      <c r="J256" s="88"/>
      <c r="K256" s="89"/>
      <c r="L256" s="90"/>
      <c r="M256" s="10" t="b">
        <f t="shared" si="9"/>
        <v>0</v>
      </c>
    </row>
    <row r="257" spans="2:13" ht="22.5">
      <c r="B257" s="15">
        <v>245</v>
      </c>
      <c r="C257" s="15"/>
      <c r="D257" s="21" t="str">
        <f t="shared" si="10"/>
        <v/>
      </c>
      <c r="E257" s="60"/>
      <c r="F257" s="110" t="str">
        <f t="shared" si="11"/>
        <v/>
      </c>
      <c r="G257" s="60"/>
      <c r="H257" s="60"/>
      <c r="I257" s="60"/>
      <c r="J257" s="88"/>
      <c r="K257" s="89"/>
      <c r="L257" s="90"/>
      <c r="M257" s="10" t="b">
        <f t="shared" si="9"/>
        <v>0</v>
      </c>
    </row>
    <row r="258" spans="2:13" ht="22.5">
      <c r="B258" s="15">
        <v>246</v>
      </c>
      <c r="C258" s="15"/>
      <c r="D258" s="21" t="str">
        <f t="shared" si="10"/>
        <v/>
      </c>
      <c r="E258" s="60"/>
      <c r="F258" s="110" t="str">
        <f t="shared" si="11"/>
        <v/>
      </c>
      <c r="G258" s="60"/>
      <c r="H258" s="60"/>
      <c r="I258" s="60"/>
      <c r="J258" s="88"/>
      <c r="K258" s="89"/>
      <c r="L258" s="90"/>
      <c r="M258" s="10" t="b">
        <f t="shared" si="9"/>
        <v>0</v>
      </c>
    </row>
    <row r="259" spans="2:13" ht="22.5">
      <c r="B259" s="15">
        <v>247</v>
      </c>
      <c r="C259" s="15"/>
      <c r="D259" s="21" t="str">
        <f t="shared" si="10"/>
        <v/>
      </c>
      <c r="E259" s="60"/>
      <c r="F259" s="110" t="str">
        <f t="shared" si="11"/>
        <v/>
      </c>
      <c r="G259" s="60"/>
      <c r="H259" s="60"/>
      <c r="I259" s="60"/>
      <c r="J259" s="88"/>
      <c r="K259" s="89"/>
      <c r="L259" s="90"/>
      <c r="M259" s="10" t="b">
        <f t="shared" si="9"/>
        <v>0</v>
      </c>
    </row>
    <row r="260" spans="2:13" ht="22.5">
      <c r="B260" s="15">
        <v>248</v>
      </c>
      <c r="C260" s="15"/>
      <c r="D260" s="21" t="str">
        <f t="shared" si="10"/>
        <v/>
      </c>
      <c r="E260" s="60"/>
      <c r="F260" s="110" t="str">
        <f t="shared" si="11"/>
        <v/>
      </c>
      <c r="G260" s="60"/>
      <c r="H260" s="60"/>
      <c r="I260" s="60"/>
      <c r="J260" s="88"/>
      <c r="K260" s="89"/>
      <c r="L260" s="90"/>
      <c r="M260" s="10" t="b">
        <f t="shared" si="9"/>
        <v>0</v>
      </c>
    </row>
    <row r="261" spans="2:13" ht="22.5">
      <c r="B261" s="15">
        <v>249</v>
      </c>
      <c r="C261" s="15"/>
      <c r="D261" s="21" t="str">
        <f t="shared" si="10"/>
        <v/>
      </c>
      <c r="E261" s="60"/>
      <c r="F261" s="110" t="str">
        <f t="shared" si="11"/>
        <v/>
      </c>
      <c r="G261" s="60"/>
      <c r="H261" s="60"/>
      <c r="I261" s="60"/>
      <c r="J261" s="88"/>
      <c r="K261" s="89"/>
      <c r="L261" s="90"/>
      <c r="M261" s="10" t="b">
        <f t="shared" si="9"/>
        <v>0</v>
      </c>
    </row>
    <row r="262" spans="2:13" ht="22.5">
      <c r="B262" s="15">
        <v>250</v>
      </c>
      <c r="C262" s="15"/>
      <c r="D262" s="21" t="str">
        <f t="shared" si="10"/>
        <v/>
      </c>
      <c r="E262" s="60"/>
      <c r="F262" s="110" t="str">
        <f t="shared" si="11"/>
        <v/>
      </c>
      <c r="G262" s="60"/>
      <c r="H262" s="60"/>
      <c r="I262" s="60"/>
      <c r="J262" s="88"/>
      <c r="K262" s="89"/>
      <c r="L262" s="90"/>
      <c r="M262" s="10" t="b">
        <f t="shared" si="9"/>
        <v>0</v>
      </c>
    </row>
    <row r="263" spans="2:13" ht="22.5">
      <c r="B263" s="15">
        <v>251</v>
      </c>
      <c r="C263" s="15"/>
      <c r="D263" s="21" t="str">
        <f t="shared" si="10"/>
        <v/>
      </c>
      <c r="E263" s="60"/>
      <c r="F263" s="110" t="str">
        <f t="shared" si="11"/>
        <v/>
      </c>
      <c r="G263" s="60"/>
      <c r="H263" s="60"/>
      <c r="I263" s="60"/>
      <c r="J263" s="88"/>
      <c r="K263" s="89"/>
      <c r="L263" s="90"/>
      <c r="M263" s="10" t="b">
        <f t="shared" si="9"/>
        <v>0</v>
      </c>
    </row>
    <row r="264" spans="2:13" ht="22.5">
      <c r="B264" s="15">
        <v>252</v>
      </c>
      <c r="C264" s="15"/>
      <c r="D264" s="21" t="str">
        <f t="shared" si="10"/>
        <v/>
      </c>
      <c r="E264" s="60"/>
      <c r="F264" s="110" t="str">
        <f t="shared" si="11"/>
        <v/>
      </c>
      <c r="G264" s="60"/>
      <c r="H264" s="60"/>
      <c r="I264" s="60"/>
      <c r="J264" s="88"/>
      <c r="K264" s="89"/>
      <c r="L264" s="90"/>
      <c r="M264" s="10" t="b">
        <f t="shared" si="9"/>
        <v>0</v>
      </c>
    </row>
    <row r="265" spans="2:13" ht="22.5">
      <c r="B265" s="15">
        <v>253</v>
      </c>
      <c r="C265" s="15"/>
      <c r="D265" s="21" t="str">
        <f t="shared" si="10"/>
        <v/>
      </c>
      <c r="E265" s="60"/>
      <c r="F265" s="110" t="str">
        <f t="shared" si="11"/>
        <v/>
      </c>
      <c r="G265" s="60"/>
      <c r="H265" s="60"/>
      <c r="I265" s="60"/>
      <c r="J265" s="88"/>
      <c r="K265" s="89"/>
      <c r="L265" s="90"/>
      <c r="M265" s="10" t="b">
        <f t="shared" si="9"/>
        <v>0</v>
      </c>
    </row>
    <row r="266" spans="2:13" ht="22.5">
      <c r="B266" s="15">
        <v>254</v>
      </c>
      <c r="C266" s="15"/>
      <c r="D266" s="21" t="str">
        <f t="shared" si="10"/>
        <v/>
      </c>
      <c r="E266" s="60"/>
      <c r="F266" s="110" t="str">
        <f t="shared" si="11"/>
        <v/>
      </c>
      <c r="G266" s="60"/>
      <c r="H266" s="60"/>
      <c r="I266" s="60"/>
      <c r="J266" s="88"/>
      <c r="K266" s="89"/>
      <c r="L266" s="90"/>
      <c r="M266" s="10" t="b">
        <f t="shared" si="9"/>
        <v>0</v>
      </c>
    </row>
    <row r="267" spans="2:13" ht="22.5">
      <c r="B267" s="15">
        <v>255</v>
      </c>
      <c r="C267" s="15"/>
      <c r="D267" s="21" t="str">
        <f t="shared" si="10"/>
        <v/>
      </c>
      <c r="E267" s="60"/>
      <c r="F267" s="110" t="str">
        <f t="shared" si="11"/>
        <v/>
      </c>
      <c r="G267" s="60"/>
      <c r="H267" s="60"/>
      <c r="I267" s="60"/>
      <c r="J267" s="88"/>
      <c r="K267" s="89"/>
      <c r="L267" s="90"/>
      <c r="M267" s="10" t="b">
        <f t="shared" si="9"/>
        <v>0</v>
      </c>
    </row>
    <row r="268" spans="2:13" ht="22.5">
      <c r="B268" s="15">
        <v>256</v>
      </c>
      <c r="C268" s="15"/>
      <c r="D268" s="21" t="str">
        <f t="shared" si="10"/>
        <v/>
      </c>
      <c r="E268" s="60"/>
      <c r="F268" s="110" t="str">
        <f t="shared" si="11"/>
        <v/>
      </c>
      <c r="G268" s="60"/>
      <c r="H268" s="60"/>
      <c r="I268" s="60"/>
      <c r="J268" s="88"/>
      <c r="K268" s="89"/>
      <c r="L268" s="90"/>
      <c r="M268" s="10" t="b">
        <f t="shared" si="9"/>
        <v>0</v>
      </c>
    </row>
    <row r="269" spans="2:13" ht="22.5">
      <c r="B269" s="15">
        <v>257</v>
      </c>
      <c r="C269" s="15"/>
      <c r="D269" s="21" t="str">
        <f t="shared" si="10"/>
        <v/>
      </c>
      <c r="E269" s="60"/>
      <c r="F269" s="110" t="str">
        <f t="shared" si="11"/>
        <v/>
      </c>
      <c r="G269" s="60"/>
      <c r="H269" s="60"/>
      <c r="I269" s="60"/>
      <c r="J269" s="88"/>
      <c r="K269" s="89"/>
      <c r="L269" s="90"/>
      <c r="M269" s="10" t="b">
        <f t="shared" ref="M269:M332" si="12">IF(COUNTA(E269,G269)=0,FALSE,TRUE)</f>
        <v>0</v>
      </c>
    </row>
    <row r="270" spans="2:13" ht="22.5">
      <c r="B270" s="15">
        <v>258</v>
      </c>
      <c r="C270" s="15"/>
      <c r="D270" s="21" t="str">
        <f t="shared" ref="D270:D333" si="13">IF(LEN(E270)=0,"",IF((AND(ISNUMBER(VALUE(E270)),LEN(E270)=12)),3,IF(AND(ISNUMBER(VALUE(E270)),(LEN(E270)=10)),1,IF(AND(OR((LEFT(E270)="R"),(LEFT(E270)="R")),(ISNUMBER(VALUE(RIGHT(E270,9)))),(LEN(E270)=10)),2,FALSE))))</f>
        <v/>
      </c>
      <c r="E270" s="60"/>
      <c r="F270" s="110" t="str">
        <f t="shared" ref="F270:F333" si="14">IF(D270=FALSE,"←ご確認ください",IF(OR(D270=1,D270=2,D270=3),"形式OK",""))</f>
        <v/>
      </c>
      <c r="G270" s="60"/>
      <c r="H270" s="60"/>
      <c r="I270" s="60"/>
      <c r="J270" s="88"/>
      <c r="K270" s="89"/>
      <c r="L270" s="90"/>
      <c r="M270" s="10" t="b">
        <f t="shared" si="12"/>
        <v>0</v>
      </c>
    </row>
    <row r="271" spans="2:13" ht="22.5">
      <c r="B271" s="15">
        <v>259</v>
      </c>
      <c r="C271" s="15"/>
      <c r="D271" s="21" t="str">
        <f t="shared" si="13"/>
        <v/>
      </c>
      <c r="E271" s="60"/>
      <c r="F271" s="110" t="str">
        <f t="shared" si="14"/>
        <v/>
      </c>
      <c r="G271" s="60"/>
      <c r="H271" s="60"/>
      <c r="I271" s="60"/>
      <c r="J271" s="88"/>
      <c r="K271" s="89"/>
      <c r="L271" s="90"/>
      <c r="M271" s="10" t="b">
        <f t="shared" si="12"/>
        <v>0</v>
      </c>
    </row>
    <row r="272" spans="2:13" ht="22.5">
      <c r="B272" s="15">
        <v>260</v>
      </c>
      <c r="C272" s="15"/>
      <c r="D272" s="21" t="str">
        <f t="shared" si="13"/>
        <v/>
      </c>
      <c r="E272" s="60"/>
      <c r="F272" s="110" t="str">
        <f t="shared" si="14"/>
        <v/>
      </c>
      <c r="G272" s="60"/>
      <c r="H272" s="60"/>
      <c r="I272" s="60"/>
      <c r="J272" s="88"/>
      <c r="K272" s="89"/>
      <c r="L272" s="90"/>
      <c r="M272" s="10" t="b">
        <f t="shared" si="12"/>
        <v>0</v>
      </c>
    </row>
    <row r="273" spans="2:13" ht="22.5">
      <c r="B273" s="15">
        <v>261</v>
      </c>
      <c r="C273" s="15"/>
      <c r="D273" s="21" t="str">
        <f t="shared" si="13"/>
        <v/>
      </c>
      <c r="E273" s="60"/>
      <c r="F273" s="110" t="str">
        <f t="shared" si="14"/>
        <v/>
      </c>
      <c r="G273" s="60"/>
      <c r="H273" s="60"/>
      <c r="I273" s="60"/>
      <c r="J273" s="88"/>
      <c r="K273" s="89"/>
      <c r="L273" s="90"/>
      <c r="M273" s="10" t="b">
        <f t="shared" si="12"/>
        <v>0</v>
      </c>
    </row>
    <row r="274" spans="2:13" ht="22.5">
      <c r="B274" s="15">
        <v>262</v>
      </c>
      <c r="C274" s="15"/>
      <c r="D274" s="21" t="str">
        <f t="shared" si="13"/>
        <v/>
      </c>
      <c r="E274" s="60"/>
      <c r="F274" s="110" t="str">
        <f t="shared" si="14"/>
        <v/>
      </c>
      <c r="G274" s="60"/>
      <c r="H274" s="60"/>
      <c r="I274" s="60"/>
      <c r="J274" s="88"/>
      <c r="K274" s="89"/>
      <c r="L274" s="90"/>
      <c r="M274" s="10" t="b">
        <f t="shared" si="12"/>
        <v>0</v>
      </c>
    </row>
    <row r="275" spans="2:13" ht="22.5">
      <c r="B275" s="15">
        <v>263</v>
      </c>
      <c r="C275" s="15"/>
      <c r="D275" s="21" t="str">
        <f t="shared" si="13"/>
        <v/>
      </c>
      <c r="E275" s="60"/>
      <c r="F275" s="110" t="str">
        <f t="shared" si="14"/>
        <v/>
      </c>
      <c r="G275" s="60"/>
      <c r="H275" s="60"/>
      <c r="I275" s="60"/>
      <c r="J275" s="88"/>
      <c r="K275" s="89"/>
      <c r="L275" s="90"/>
      <c r="M275" s="10" t="b">
        <f t="shared" si="12"/>
        <v>0</v>
      </c>
    </row>
    <row r="276" spans="2:13" ht="22.5">
      <c r="B276" s="15">
        <v>264</v>
      </c>
      <c r="C276" s="15"/>
      <c r="D276" s="21" t="str">
        <f t="shared" si="13"/>
        <v/>
      </c>
      <c r="E276" s="60"/>
      <c r="F276" s="110" t="str">
        <f t="shared" si="14"/>
        <v/>
      </c>
      <c r="G276" s="60"/>
      <c r="H276" s="60"/>
      <c r="I276" s="60"/>
      <c r="J276" s="88"/>
      <c r="K276" s="89"/>
      <c r="L276" s="90"/>
      <c r="M276" s="10" t="b">
        <f t="shared" si="12"/>
        <v>0</v>
      </c>
    </row>
    <row r="277" spans="2:13" ht="22.5">
      <c r="B277" s="15">
        <v>265</v>
      </c>
      <c r="C277" s="15"/>
      <c r="D277" s="21" t="str">
        <f t="shared" si="13"/>
        <v/>
      </c>
      <c r="E277" s="60"/>
      <c r="F277" s="110" t="str">
        <f t="shared" si="14"/>
        <v/>
      </c>
      <c r="G277" s="60"/>
      <c r="H277" s="60"/>
      <c r="I277" s="60"/>
      <c r="J277" s="88"/>
      <c r="K277" s="89"/>
      <c r="L277" s="90"/>
      <c r="M277" s="10" t="b">
        <f t="shared" si="12"/>
        <v>0</v>
      </c>
    </row>
    <row r="278" spans="2:13" ht="22.5">
      <c r="B278" s="15">
        <v>266</v>
      </c>
      <c r="C278" s="15"/>
      <c r="D278" s="21" t="str">
        <f t="shared" si="13"/>
        <v/>
      </c>
      <c r="E278" s="60"/>
      <c r="F278" s="110" t="str">
        <f t="shared" si="14"/>
        <v/>
      </c>
      <c r="G278" s="60"/>
      <c r="H278" s="60"/>
      <c r="I278" s="60"/>
      <c r="J278" s="88"/>
      <c r="K278" s="89"/>
      <c r="L278" s="90"/>
      <c r="M278" s="10" t="b">
        <f t="shared" si="12"/>
        <v>0</v>
      </c>
    </row>
    <row r="279" spans="2:13" ht="22.5">
      <c r="B279" s="15">
        <v>267</v>
      </c>
      <c r="C279" s="15"/>
      <c r="D279" s="21" t="str">
        <f t="shared" si="13"/>
        <v/>
      </c>
      <c r="E279" s="60"/>
      <c r="F279" s="110" t="str">
        <f t="shared" si="14"/>
        <v/>
      </c>
      <c r="G279" s="60"/>
      <c r="H279" s="60"/>
      <c r="I279" s="60"/>
      <c r="J279" s="88"/>
      <c r="K279" s="89"/>
      <c r="L279" s="90"/>
      <c r="M279" s="10" t="b">
        <f t="shared" si="12"/>
        <v>0</v>
      </c>
    </row>
    <row r="280" spans="2:13" ht="22.5">
      <c r="B280" s="15">
        <v>268</v>
      </c>
      <c r="C280" s="15"/>
      <c r="D280" s="21" t="str">
        <f t="shared" si="13"/>
        <v/>
      </c>
      <c r="E280" s="60"/>
      <c r="F280" s="110" t="str">
        <f t="shared" si="14"/>
        <v/>
      </c>
      <c r="G280" s="60"/>
      <c r="H280" s="60"/>
      <c r="I280" s="60"/>
      <c r="J280" s="88"/>
      <c r="K280" s="89"/>
      <c r="L280" s="90"/>
      <c r="M280" s="10" t="b">
        <f t="shared" si="12"/>
        <v>0</v>
      </c>
    </row>
    <row r="281" spans="2:13" ht="22.5">
      <c r="B281" s="15">
        <v>269</v>
      </c>
      <c r="C281" s="15"/>
      <c r="D281" s="21" t="str">
        <f t="shared" si="13"/>
        <v/>
      </c>
      <c r="E281" s="60"/>
      <c r="F281" s="110" t="str">
        <f t="shared" si="14"/>
        <v/>
      </c>
      <c r="G281" s="60"/>
      <c r="H281" s="60"/>
      <c r="I281" s="60"/>
      <c r="J281" s="88"/>
      <c r="K281" s="89"/>
      <c r="L281" s="90"/>
      <c r="M281" s="10" t="b">
        <f t="shared" si="12"/>
        <v>0</v>
      </c>
    </row>
    <row r="282" spans="2:13" ht="22.5">
      <c r="B282" s="15">
        <v>270</v>
      </c>
      <c r="C282" s="15"/>
      <c r="D282" s="21" t="str">
        <f t="shared" si="13"/>
        <v/>
      </c>
      <c r="E282" s="60"/>
      <c r="F282" s="110" t="str">
        <f t="shared" si="14"/>
        <v/>
      </c>
      <c r="G282" s="60"/>
      <c r="H282" s="60"/>
      <c r="I282" s="60"/>
      <c r="J282" s="88"/>
      <c r="K282" s="89"/>
      <c r="L282" s="90"/>
      <c r="M282" s="10" t="b">
        <f t="shared" si="12"/>
        <v>0</v>
      </c>
    </row>
    <row r="283" spans="2:13" ht="22.5">
      <c r="B283" s="15">
        <v>271</v>
      </c>
      <c r="C283" s="15"/>
      <c r="D283" s="21" t="str">
        <f t="shared" si="13"/>
        <v/>
      </c>
      <c r="E283" s="60"/>
      <c r="F283" s="110" t="str">
        <f t="shared" si="14"/>
        <v/>
      </c>
      <c r="G283" s="60"/>
      <c r="H283" s="60"/>
      <c r="I283" s="60"/>
      <c r="J283" s="88"/>
      <c r="K283" s="89"/>
      <c r="L283" s="90"/>
      <c r="M283" s="10" t="b">
        <f t="shared" si="12"/>
        <v>0</v>
      </c>
    </row>
    <row r="284" spans="2:13" ht="22.5">
      <c r="B284" s="15">
        <v>272</v>
      </c>
      <c r="C284" s="15"/>
      <c r="D284" s="21" t="str">
        <f t="shared" si="13"/>
        <v/>
      </c>
      <c r="E284" s="60"/>
      <c r="F284" s="110" t="str">
        <f t="shared" si="14"/>
        <v/>
      </c>
      <c r="G284" s="60"/>
      <c r="H284" s="60"/>
      <c r="I284" s="60"/>
      <c r="J284" s="88"/>
      <c r="K284" s="89"/>
      <c r="L284" s="90"/>
      <c r="M284" s="10" t="b">
        <f t="shared" si="12"/>
        <v>0</v>
      </c>
    </row>
    <row r="285" spans="2:13" ht="22.5">
      <c r="B285" s="15">
        <v>273</v>
      </c>
      <c r="C285" s="15"/>
      <c r="D285" s="21" t="str">
        <f t="shared" si="13"/>
        <v/>
      </c>
      <c r="E285" s="60"/>
      <c r="F285" s="110" t="str">
        <f t="shared" si="14"/>
        <v/>
      </c>
      <c r="G285" s="60"/>
      <c r="H285" s="60"/>
      <c r="I285" s="60"/>
      <c r="J285" s="88"/>
      <c r="K285" s="89"/>
      <c r="L285" s="90"/>
      <c r="M285" s="10" t="b">
        <f t="shared" si="12"/>
        <v>0</v>
      </c>
    </row>
    <row r="286" spans="2:13" ht="22.5">
      <c r="B286" s="15">
        <v>274</v>
      </c>
      <c r="C286" s="15"/>
      <c r="D286" s="21" t="str">
        <f t="shared" si="13"/>
        <v/>
      </c>
      <c r="E286" s="60"/>
      <c r="F286" s="110" t="str">
        <f t="shared" si="14"/>
        <v/>
      </c>
      <c r="G286" s="60"/>
      <c r="H286" s="60"/>
      <c r="I286" s="60"/>
      <c r="J286" s="88"/>
      <c r="K286" s="89"/>
      <c r="L286" s="90"/>
      <c r="M286" s="10" t="b">
        <f t="shared" si="12"/>
        <v>0</v>
      </c>
    </row>
    <row r="287" spans="2:13" ht="22.5">
      <c r="B287" s="15">
        <v>275</v>
      </c>
      <c r="C287" s="15"/>
      <c r="D287" s="21" t="str">
        <f t="shared" si="13"/>
        <v/>
      </c>
      <c r="E287" s="60"/>
      <c r="F287" s="110" t="str">
        <f t="shared" si="14"/>
        <v/>
      </c>
      <c r="G287" s="60"/>
      <c r="H287" s="60"/>
      <c r="I287" s="60"/>
      <c r="J287" s="88"/>
      <c r="K287" s="89"/>
      <c r="L287" s="90"/>
      <c r="M287" s="10" t="b">
        <f t="shared" si="12"/>
        <v>0</v>
      </c>
    </row>
    <row r="288" spans="2:13" ht="22.5">
      <c r="B288" s="15">
        <v>276</v>
      </c>
      <c r="C288" s="15"/>
      <c r="D288" s="21" t="str">
        <f t="shared" si="13"/>
        <v/>
      </c>
      <c r="E288" s="60"/>
      <c r="F288" s="110" t="str">
        <f t="shared" si="14"/>
        <v/>
      </c>
      <c r="G288" s="60"/>
      <c r="H288" s="60"/>
      <c r="I288" s="60"/>
      <c r="J288" s="88"/>
      <c r="K288" s="89"/>
      <c r="L288" s="90"/>
      <c r="M288" s="10" t="b">
        <f t="shared" si="12"/>
        <v>0</v>
      </c>
    </row>
    <row r="289" spans="2:13" ht="22.5">
      <c r="B289" s="15">
        <v>277</v>
      </c>
      <c r="C289" s="15"/>
      <c r="D289" s="21" t="str">
        <f t="shared" si="13"/>
        <v/>
      </c>
      <c r="E289" s="60"/>
      <c r="F289" s="110" t="str">
        <f t="shared" si="14"/>
        <v/>
      </c>
      <c r="G289" s="60"/>
      <c r="H289" s="60"/>
      <c r="I289" s="60"/>
      <c r="J289" s="88"/>
      <c r="K289" s="89"/>
      <c r="L289" s="90"/>
      <c r="M289" s="10" t="b">
        <f t="shared" si="12"/>
        <v>0</v>
      </c>
    </row>
    <row r="290" spans="2:13" ht="22.5">
      <c r="B290" s="15">
        <v>278</v>
      </c>
      <c r="C290" s="15"/>
      <c r="D290" s="21" t="str">
        <f t="shared" si="13"/>
        <v/>
      </c>
      <c r="E290" s="60"/>
      <c r="F290" s="110" t="str">
        <f t="shared" si="14"/>
        <v/>
      </c>
      <c r="G290" s="60"/>
      <c r="H290" s="60"/>
      <c r="I290" s="60"/>
      <c r="J290" s="88"/>
      <c r="K290" s="89"/>
      <c r="L290" s="90"/>
      <c r="M290" s="10" t="b">
        <f t="shared" si="12"/>
        <v>0</v>
      </c>
    </row>
    <row r="291" spans="2:13" ht="22.5">
      <c r="B291" s="15">
        <v>279</v>
      </c>
      <c r="C291" s="15"/>
      <c r="D291" s="21" t="str">
        <f t="shared" si="13"/>
        <v/>
      </c>
      <c r="E291" s="60"/>
      <c r="F291" s="110" t="str">
        <f t="shared" si="14"/>
        <v/>
      </c>
      <c r="G291" s="60"/>
      <c r="H291" s="60"/>
      <c r="I291" s="60"/>
      <c r="J291" s="88"/>
      <c r="K291" s="89"/>
      <c r="L291" s="90"/>
      <c r="M291" s="10" t="b">
        <f t="shared" si="12"/>
        <v>0</v>
      </c>
    </row>
    <row r="292" spans="2:13" ht="22.5">
      <c r="B292" s="15">
        <v>280</v>
      </c>
      <c r="C292" s="15"/>
      <c r="D292" s="21" t="str">
        <f t="shared" si="13"/>
        <v/>
      </c>
      <c r="E292" s="60"/>
      <c r="F292" s="110" t="str">
        <f t="shared" si="14"/>
        <v/>
      </c>
      <c r="G292" s="60"/>
      <c r="H292" s="60"/>
      <c r="I292" s="60"/>
      <c r="J292" s="88"/>
      <c r="K292" s="89"/>
      <c r="L292" s="90"/>
      <c r="M292" s="10" t="b">
        <f t="shared" si="12"/>
        <v>0</v>
      </c>
    </row>
    <row r="293" spans="2:13" ht="22.5">
      <c r="B293" s="15">
        <v>281</v>
      </c>
      <c r="C293" s="15"/>
      <c r="D293" s="21" t="str">
        <f t="shared" si="13"/>
        <v/>
      </c>
      <c r="E293" s="60"/>
      <c r="F293" s="110" t="str">
        <f t="shared" si="14"/>
        <v/>
      </c>
      <c r="G293" s="60"/>
      <c r="H293" s="60"/>
      <c r="I293" s="60"/>
      <c r="J293" s="88"/>
      <c r="K293" s="89"/>
      <c r="L293" s="90"/>
      <c r="M293" s="10" t="b">
        <f t="shared" si="12"/>
        <v>0</v>
      </c>
    </row>
    <row r="294" spans="2:13" ht="22.5">
      <c r="B294" s="15">
        <v>282</v>
      </c>
      <c r="C294" s="15"/>
      <c r="D294" s="21" t="str">
        <f t="shared" si="13"/>
        <v/>
      </c>
      <c r="E294" s="60"/>
      <c r="F294" s="110" t="str">
        <f t="shared" si="14"/>
        <v/>
      </c>
      <c r="G294" s="60"/>
      <c r="H294" s="60"/>
      <c r="I294" s="60"/>
      <c r="J294" s="88"/>
      <c r="K294" s="89"/>
      <c r="L294" s="90"/>
      <c r="M294" s="10" t="b">
        <f t="shared" si="12"/>
        <v>0</v>
      </c>
    </row>
    <row r="295" spans="2:13" ht="22.5">
      <c r="B295" s="15">
        <v>283</v>
      </c>
      <c r="C295" s="15"/>
      <c r="D295" s="21" t="str">
        <f t="shared" si="13"/>
        <v/>
      </c>
      <c r="E295" s="60"/>
      <c r="F295" s="110" t="str">
        <f t="shared" si="14"/>
        <v/>
      </c>
      <c r="G295" s="60"/>
      <c r="H295" s="60"/>
      <c r="I295" s="60"/>
      <c r="J295" s="88"/>
      <c r="K295" s="89"/>
      <c r="L295" s="90"/>
      <c r="M295" s="10" t="b">
        <f t="shared" si="12"/>
        <v>0</v>
      </c>
    </row>
    <row r="296" spans="2:13" ht="22.5">
      <c r="B296" s="15">
        <v>284</v>
      </c>
      <c r="C296" s="15"/>
      <c r="D296" s="21" t="str">
        <f t="shared" si="13"/>
        <v/>
      </c>
      <c r="E296" s="60"/>
      <c r="F296" s="110" t="str">
        <f t="shared" si="14"/>
        <v/>
      </c>
      <c r="G296" s="60"/>
      <c r="H296" s="60"/>
      <c r="I296" s="60"/>
      <c r="J296" s="88"/>
      <c r="K296" s="89"/>
      <c r="L296" s="90"/>
      <c r="M296" s="10" t="b">
        <f t="shared" si="12"/>
        <v>0</v>
      </c>
    </row>
    <row r="297" spans="2:13" ht="22.5">
      <c r="B297" s="15">
        <v>285</v>
      </c>
      <c r="C297" s="15"/>
      <c r="D297" s="21" t="str">
        <f t="shared" si="13"/>
        <v/>
      </c>
      <c r="E297" s="60"/>
      <c r="F297" s="110" t="str">
        <f t="shared" si="14"/>
        <v/>
      </c>
      <c r="G297" s="60"/>
      <c r="H297" s="60"/>
      <c r="I297" s="60"/>
      <c r="J297" s="88"/>
      <c r="K297" s="89"/>
      <c r="L297" s="90"/>
      <c r="M297" s="10" t="b">
        <f t="shared" si="12"/>
        <v>0</v>
      </c>
    </row>
    <row r="298" spans="2:13" ht="22.5">
      <c r="B298" s="15">
        <v>286</v>
      </c>
      <c r="C298" s="15"/>
      <c r="D298" s="21" t="str">
        <f t="shared" si="13"/>
        <v/>
      </c>
      <c r="E298" s="60"/>
      <c r="F298" s="110" t="str">
        <f t="shared" si="14"/>
        <v/>
      </c>
      <c r="G298" s="60"/>
      <c r="H298" s="60"/>
      <c r="I298" s="60"/>
      <c r="J298" s="88"/>
      <c r="K298" s="89"/>
      <c r="L298" s="90"/>
      <c r="M298" s="10" t="b">
        <f t="shared" si="12"/>
        <v>0</v>
      </c>
    </row>
    <row r="299" spans="2:13" ht="22.5">
      <c r="B299" s="15">
        <v>287</v>
      </c>
      <c r="C299" s="15"/>
      <c r="D299" s="21" t="str">
        <f t="shared" si="13"/>
        <v/>
      </c>
      <c r="E299" s="60"/>
      <c r="F299" s="110" t="str">
        <f t="shared" si="14"/>
        <v/>
      </c>
      <c r="G299" s="60"/>
      <c r="H299" s="60"/>
      <c r="I299" s="60"/>
      <c r="J299" s="88"/>
      <c r="K299" s="89"/>
      <c r="L299" s="90"/>
      <c r="M299" s="10" t="b">
        <f t="shared" si="12"/>
        <v>0</v>
      </c>
    </row>
    <row r="300" spans="2:13" ht="22.5">
      <c r="B300" s="15">
        <v>288</v>
      </c>
      <c r="C300" s="15"/>
      <c r="D300" s="21" t="str">
        <f t="shared" si="13"/>
        <v/>
      </c>
      <c r="E300" s="60"/>
      <c r="F300" s="110" t="str">
        <f t="shared" si="14"/>
        <v/>
      </c>
      <c r="G300" s="60"/>
      <c r="H300" s="60"/>
      <c r="I300" s="60"/>
      <c r="J300" s="88"/>
      <c r="K300" s="89"/>
      <c r="L300" s="90"/>
      <c r="M300" s="10" t="b">
        <f t="shared" si="12"/>
        <v>0</v>
      </c>
    </row>
    <row r="301" spans="2:13" ht="22.5">
      <c r="B301" s="15">
        <v>289</v>
      </c>
      <c r="C301" s="15"/>
      <c r="D301" s="21" t="str">
        <f t="shared" si="13"/>
        <v/>
      </c>
      <c r="E301" s="60"/>
      <c r="F301" s="110" t="str">
        <f t="shared" si="14"/>
        <v/>
      </c>
      <c r="G301" s="60"/>
      <c r="H301" s="60"/>
      <c r="I301" s="60"/>
      <c r="J301" s="88"/>
      <c r="K301" s="89"/>
      <c r="L301" s="90"/>
      <c r="M301" s="10" t="b">
        <f t="shared" si="12"/>
        <v>0</v>
      </c>
    </row>
    <row r="302" spans="2:13" ht="22.5">
      <c r="B302" s="15">
        <v>290</v>
      </c>
      <c r="C302" s="15"/>
      <c r="D302" s="21" t="str">
        <f t="shared" si="13"/>
        <v/>
      </c>
      <c r="E302" s="60"/>
      <c r="F302" s="110" t="str">
        <f t="shared" si="14"/>
        <v/>
      </c>
      <c r="G302" s="60"/>
      <c r="H302" s="60"/>
      <c r="I302" s="60"/>
      <c r="J302" s="88"/>
      <c r="K302" s="89"/>
      <c r="L302" s="90"/>
      <c r="M302" s="10" t="b">
        <f t="shared" si="12"/>
        <v>0</v>
      </c>
    </row>
    <row r="303" spans="2:13" ht="22.5">
      <c r="B303" s="15">
        <v>291</v>
      </c>
      <c r="C303" s="15"/>
      <c r="D303" s="21" t="str">
        <f t="shared" si="13"/>
        <v/>
      </c>
      <c r="E303" s="60"/>
      <c r="F303" s="110" t="str">
        <f t="shared" si="14"/>
        <v/>
      </c>
      <c r="G303" s="60"/>
      <c r="H303" s="60"/>
      <c r="I303" s="60"/>
      <c r="J303" s="88"/>
      <c r="K303" s="89"/>
      <c r="L303" s="90"/>
      <c r="M303" s="10" t="b">
        <f t="shared" si="12"/>
        <v>0</v>
      </c>
    </row>
    <row r="304" spans="2:13" ht="22.5">
      <c r="B304" s="15">
        <v>292</v>
      </c>
      <c r="C304" s="15"/>
      <c r="D304" s="21" t="str">
        <f t="shared" si="13"/>
        <v/>
      </c>
      <c r="E304" s="60"/>
      <c r="F304" s="110" t="str">
        <f t="shared" si="14"/>
        <v/>
      </c>
      <c r="G304" s="60"/>
      <c r="H304" s="60"/>
      <c r="I304" s="60"/>
      <c r="J304" s="88"/>
      <c r="K304" s="89"/>
      <c r="L304" s="90"/>
      <c r="M304" s="10" t="b">
        <f t="shared" si="12"/>
        <v>0</v>
      </c>
    </row>
    <row r="305" spans="2:13" ht="22.5">
      <c r="B305" s="15">
        <v>293</v>
      </c>
      <c r="C305" s="15"/>
      <c r="D305" s="21" t="str">
        <f t="shared" si="13"/>
        <v/>
      </c>
      <c r="E305" s="60"/>
      <c r="F305" s="110" t="str">
        <f t="shared" si="14"/>
        <v/>
      </c>
      <c r="G305" s="60"/>
      <c r="H305" s="60"/>
      <c r="I305" s="60"/>
      <c r="J305" s="88"/>
      <c r="K305" s="89"/>
      <c r="L305" s="90"/>
      <c r="M305" s="10" t="b">
        <f t="shared" si="12"/>
        <v>0</v>
      </c>
    </row>
    <row r="306" spans="2:13" ht="22.5">
      <c r="B306" s="15">
        <v>294</v>
      </c>
      <c r="C306" s="15"/>
      <c r="D306" s="21" t="str">
        <f t="shared" si="13"/>
        <v/>
      </c>
      <c r="E306" s="60"/>
      <c r="F306" s="110" t="str">
        <f t="shared" si="14"/>
        <v/>
      </c>
      <c r="G306" s="60"/>
      <c r="H306" s="60"/>
      <c r="I306" s="60"/>
      <c r="J306" s="88"/>
      <c r="K306" s="89"/>
      <c r="L306" s="90"/>
      <c r="M306" s="10" t="b">
        <f t="shared" si="12"/>
        <v>0</v>
      </c>
    </row>
    <row r="307" spans="2:13" ht="22.5">
      <c r="B307" s="15">
        <v>295</v>
      </c>
      <c r="C307" s="15"/>
      <c r="D307" s="21" t="str">
        <f t="shared" si="13"/>
        <v/>
      </c>
      <c r="E307" s="60"/>
      <c r="F307" s="110" t="str">
        <f t="shared" si="14"/>
        <v/>
      </c>
      <c r="G307" s="60"/>
      <c r="H307" s="60"/>
      <c r="I307" s="60"/>
      <c r="J307" s="88"/>
      <c r="K307" s="89"/>
      <c r="L307" s="90"/>
      <c r="M307" s="10" t="b">
        <f t="shared" si="12"/>
        <v>0</v>
      </c>
    </row>
    <row r="308" spans="2:13" ht="22.5">
      <c r="B308" s="15">
        <v>296</v>
      </c>
      <c r="C308" s="15"/>
      <c r="D308" s="21" t="str">
        <f t="shared" si="13"/>
        <v/>
      </c>
      <c r="E308" s="60"/>
      <c r="F308" s="110" t="str">
        <f t="shared" si="14"/>
        <v/>
      </c>
      <c r="G308" s="60"/>
      <c r="H308" s="60"/>
      <c r="I308" s="60"/>
      <c r="J308" s="88"/>
      <c r="K308" s="89"/>
      <c r="L308" s="90"/>
      <c r="M308" s="10" t="b">
        <f t="shared" si="12"/>
        <v>0</v>
      </c>
    </row>
    <row r="309" spans="2:13" ht="22.5">
      <c r="B309" s="15">
        <v>297</v>
      </c>
      <c r="C309" s="15"/>
      <c r="D309" s="21" t="str">
        <f t="shared" si="13"/>
        <v/>
      </c>
      <c r="E309" s="60"/>
      <c r="F309" s="110" t="str">
        <f t="shared" si="14"/>
        <v/>
      </c>
      <c r="G309" s="60"/>
      <c r="H309" s="60"/>
      <c r="I309" s="60"/>
      <c r="J309" s="88"/>
      <c r="K309" s="89"/>
      <c r="L309" s="90"/>
      <c r="M309" s="10" t="b">
        <f t="shared" si="12"/>
        <v>0</v>
      </c>
    </row>
    <row r="310" spans="2:13" ht="22.5">
      <c r="B310" s="15">
        <v>298</v>
      </c>
      <c r="C310" s="15"/>
      <c r="D310" s="21" t="str">
        <f t="shared" si="13"/>
        <v/>
      </c>
      <c r="E310" s="60"/>
      <c r="F310" s="110" t="str">
        <f t="shared" si="14"/>
        <v/>
      </c>
      <c r="G310" s="60"/>
      <c r="H310" s="60"/>
      <c r="I310" s="60"/>
      <c r="J310" s="88"/>
      <c r="K310" s="89"/>
      <c r="L310" s="90"/>
      <c r="M310" s="10" t="b">
        <f t="shared" si="12"/>
        <v>0</v>
      </c>
    </row>
    <row r="311" spans="2:13" ht="22.5">
      <c r="B311" s="15">
        <v>299</v>
      </c>
      <c r="C311" s="15"/>
      <c r="D311" s="21" t="str">
        <f t="shared" si="13"/>
        <v/>
      </c>
      <c r="E311" s="60"/>
      <c r="F311" s="110" t="str">
        <f t="shared" si="14"/>
        <v/>
      </c>
      <c r="G311" s="60"/>
      <c r="H311" s="60"/>
      <c r="I311" s="60"/>
      <c r="J311" s="88"/>
      <c r="K311" s="89"/>
      <c r="L311" s="90"/>
      <c r="M311" s="10" t="b">
        <f t="shared" si="12"/>
        <v>0</v>
      </c>
    </row>
    <row r="312" spans="2:13" ht="22.5">
      <c r="B312" s="15">
        <v>300</v>
      </c>
      <c r="C312" s="15"/>
      <c r="D312" s="21" t="str">
        <f t="shared" si="13"/>
        <v/>
      </c>
      <c r="E312" s="60"/>
      <c r="F312" s="110" t="str">
        <f t="shared" si="14"/>
        <v/>
      </c>
      <c r="G312" s="60"/>
      <c r="H312" s="60"/>
      <c r="I312" s="60"/>
      <c r="J312" s="88"/>
      <c r="K312" s="89"/>
      <c r="L312" s="90"/>
      <c r="M312" s="10" t="b">
        <f t="shared" si="12"/>
        <v>0</v>
      </c>
    </row>
    <row r="313" spans="2:13" ht="22.5">
      <c r="B313" s="15">
        <v>301</v>
      </c>
      <c r="C313" s="15"/>
      <c r="D313" s="21" t="str">
        <f t="shared" si="13"/>
        <v/>
      </c>
      <c r="E313" s="60"/>
      <c r="F313" s="110" t="str">
        <f t="shared" si="14"/>
        <v/>
      </c>
      <c r="G313" s="60"/>
      <c r="H313" s="60"/>
      <c r="I313" s="60"/>
      <c r="J313" s="88"/>
      <c r="K313" s="89"/>
      <c r="L313" s="90"/>
      <c r="M313" s="10" t="b">
        <f t="shared" si="12"/>
        <v>0</v>
      </c>
    </row>
    <row r="314" spans="2:13" ht="22.5">
      <c r="B314" s="15">
        <v>302</v>
      </c>
      <c r="C314" s="15"/>
      <c r="D314" s="21" t="str">
        <f t="shared" si="13"/>
        <v/>
      </c>
      <c r="E314" s="60"/>
      <c r="F314" s="110" t="str">
        <f t="shared" si="14"/>
        <v/>
      </c>
      <c r="G314" s="60"/>
      <c r="H314" s="60"/>
      <c r="I314" s="60"/>
      <c r="J314" s="88"/>
      <c r="K314" s="89"/>
      <c r="L314" s="90"/>
      <c r="M314" s="10" t="b">
        <f t="shared" si="12"/>
        <v>0</v>
      </c>
    </row>
    <row r="315" spans="2:13" ht="22.5">
      <c r="B315" s="15">
        <v>303</v>
      </c>
      <c r="C315" s="15"/>
      <c r="D315" s="21" t="str">
        <f t="shared" si="13"/>
        <v/>
      </c>
      <c r="E315" s="60"/>
      <c r="F315" s="110" t="str">
        <f t="shared" si="14"/>
        <v/>
      </c>
      <c r="G315" s="60"/>
      <c r="H315" s="60"/>
      <c r="I315" s="60"/>
      <c r="J315" s="88"/>
      <c r="K315" s="89"/>
      <c r="L315" s="90"/>
      <c r="M315" s="10" t="b">
        <f t="shared" si="12"/>
        <v>0</v>
      </c>
    </row>
    <row r="316" spans="2:13" ht="22.5">
      <c r="B316" s="15">
        <v>304</v>
      </c>
      <c r="C316" s="15"/>
      <c r="D316" s="21" t="str">
        <f t="shared" si="13"/>
        <v/>
      </c>
      <c r="E316" s="60"/>
      <c r="F316" s="110" t="str">
        <f t="shared" si="14"/>
        <v/>
      </c>
      <c r="G316" s="60"/>
      <c r="H316" s="60"/>
      <c r="I316" s="60"/>
      <c r="J316" s="88"/>
      <c r="K316" s="89"/>
      <c r="L316" s="90"/>
      <c r="M316" s="10" t="b">
        <f t="shared" si="12"/>
        <v>0</v>
      </c>
    </row>
    <row r="317" spans="2:13" ht="22.5">
      <c r="B317" s="15">
        <v>305</v>
      </c>
      <c r="C317" s="15"/>
      <c r="D317" s="21" t="str">
        <f t="shared" si="13"/>
        <v/>
      </c>
      <c r="E317" s="60"/>
      <c r="F317" s="110" t="str">
        <f t="shared" si="14"/>
        <v/>
      </c>
      <c r="G317" s="60"/>
      <c r="H317" s="60"/>
      <c r="I317" s="60"/>
      <c r="J317" s="88"/>
      <c r="K317" s="89"/>
      <c r="L317" s="90"/>
      <c r="M317" s="10" t="b">
        <f t="shared" si="12"/>
        <v>0</v>
      </c>
    </row>
    <row r="318" spans="2:13" ht="22.5">
      <c r="B318" s="15">
        <v>306</v>
      </c>
      <c r="C318" s="15"/>
      <c r="D318" s="21" t="str">
        <f t="shared" si="13"/>
        <v/>
      </c>
      <c r="E318" s="60"/>
      <c r="F318" s="110" t="str">
        <f t="shared" si="14"/>
        <v/>
      </c>
      <c r="G318" s="60"/>
      <c r="H318" s="60"/>
      <c r="I318" s="60"/>
      <c r="J318" s="88"/>
      <c r="K318" s="89"/>
      <c r="L318" s="90"/>
      <c r="M318" s="10" t="b">
        <f t="shared" si="12"/>
        <v>0</v>
      </c>
    </row>
    <row r="319" spans="2:13" ht="22.5">
      <c r="B319" s="15">
        <v>307</v>
      </c>
      <c r="C319" s="15"/>
      <c r="D319" s="21" t="str">
        <f t="shared" si="13"/>
        <v/>
      </c>
      <c r="E319" s="60"/>
      <c r="F319" s="110" t="str">
        <f t="shared" si="14"/>
        <v/>
      </c>
      <c r="G319" s="60"/>
      <c r="H319" s="60"/>
      <c r="I319" s="60"/>
      <c r="J319" s="88"/>
      <c r="K319" s="89"/>
      <c r="L319" s="90"/>
      <c r="M319" s="10" t="b">
        <f t="shared" si="12"/>
        <v>0</v>
      </c>
    </row>
    <row r="320" spans="2:13" ht="22.5">
      <c r="B320" s="15">
        <v>308</v>
      </c>
      <c r="C320" s="15"/>
      <c r="D320" s="21" t="str">
        <f t="shared" si="13"/>
        <v/>
      </c>
      <c r="E320" s="60"/>
      <c r="F320" s="110" t="str">
        <f t="shared" si="14"/>
        <v/>
      </c>
      <c r="G320" s="60"/>
      <c r="H320" s="60"/>
      <c r="I320" s="60"/>
      <c r="J320" s="88"/>
      <c r="K320" s="89"/>
      <c r="L320" s="90"/>
      <c r="M320" s="10" t="b">
        <f t="shared" si="12"/>
        <v>0</v>
      </c>
    </row>
    <row r="321" spans="2:13" ht="22.5">
      <c r="B321" s="15">
        <v>309</v>
      </c>
      <c r="C321" s="15"/>
      <c r="D321" s="21" t="str">
        <f t="shared" si="13"/>
        <v/>
      </c>
      <c r="E321" s="60"/>
      <c r="F321" s="110" t="str">
        <f t="shared" si="14"/>
        <v/>
      </c>
      <c r="G321" s="60"/>
      <c r="H321" s="60"/>
      <c r="I321" s="60"/>
      <c r="J321" s="88"/>
      <c r="K321" s="89"/>
      <c r="L321" s="90"/>
      <c r="M321" s="10" t="b">
        <f t="shared" si="12"/>
        <v>0</v>
      </c>
    </row>
    <row r="322" spans="2:13" ht="22.5">
      <c r="B322" s="15">
        <v>310</v>
      </c>
      <c r="C322" s="15"/>
      <c r="D322" s="21" t="str">
        <f t="shared" si="13"/>
        <v/>
      </c>
      <c r="E322" s="60"/>
      <c r="F322" s="110" t="str">
        <f t="shared" si="14"/>
        <v/>
      </c>
      <c r="G322" s="60"/>
      <c r="H322" s="60"/>
      <c r="I322" s="60"/>
      <c r="J322" s="88"/>
      <c r="K322" s="89"/>
      <c r="L322" s="90"/>
      <c r="M322" s="10" t="b">
        <f t="shared" si="12"/>
        <v>0</v>
      </c>
    </row>
    <row r="323" spans="2:13" ht="22.5">
      <c r="B323" s="15">
        <v>311</v>
      </c>
      <c r="C323" s="15"/>
      <c r="D323" s="21" t="str">
        <f t="shared" si="13"/>
        <v/>
      </c>
      <c r="E323" s="60"/>
      <c r="F323" s="110" t="str">
        <f t="shared" si="14"/>
        <v/>
      </c>
      <c r="G323" s="60"/>
      <c r="H323" s="60"/>
      <c r="I323" s="60"/>
      <c r="J323" s="88"/>
      <c r="K323" s="89"/>
      <c r="L323" s="90"/>
      <c r="M323" s="10" t="b">
        <f t="shared" si="12"/>
        <v>0</v>
      </c>
    </row>
    <row r="324" spans="2:13" ht="22.5">
      <c r="B324" s="15">
        <v>312</v>
      </c>
      <c r="C324" s="15"/>
      <c r="D324" s="21" t="str">
        <f t="shared" si="13"/>
        <v/>
      </c>
      <c r="E324" s="60"/>
      <c r="F324" s="110" t="str">
        <f t="shared" si="14"/>
        <v/>
      </c>
      <c r="G324" s="60"/>
      <c r="H324" s="60"/>
      <c r="I324" s="60"/>
      <c r="J324" s="88"/>
      <c r="K324" s="89"/>
      <c r="L324" s="90"/>
      <c r="M324" s="10" t="b">
        <f t="shared" si="12"/>
        <v>0</v>
      </c>
    </row>
    <row r="325" spans="2:13" ht="22.5">
      <c r="B325" s="15">
        <v>313</v>
      </c>
      <c r="C325" s="15"/>
      <c r="D325" s="21" t="str">
        <f t="shared" si="13"/>
        <v/>
      </c>
      <c r="E325" s="60"/>
      <c r="F325" s="110" t="str">
        <f t="shared" si="14"/>
        <v/>
      </c>
      <c r="G325" s="60"/>
      <c r="H325" s="60"/>
      <c r="I325" s="60"/>
      <c r="J325" s="88"/>
      <c r="K325" s="89"/>
      <c r="L325" s="90"/>
      <c r="M325" s="10" t="b">
        <f t="shared" si="12"/>
        <v>0</v>
      </c>
    </row>
    <row r="326" spans="2:13" ht="22.5">
      <c r="B326" s="15">
        <v>314</v>
      </c>
      <c r="C326" s="15"/>
      <c r="D326" s="21" t="str">
        <f t="shared" si="13"/>
        <v/>
      </c>
      <c r="E326" s="60"/>
      <c r="F326" s="110" t="str">
        <f t="shared" si="14"/>
        <v/>
      </c>
      <c r="G326" s="60"/>
      <c r="H326" s="60"/>
      <c r="I326" s="60"/>
      <c r="J326" s="88"/>
      <c r="K326" s="89"/>
      <c r="L326" s="90"/>
      <c r="M326" s="10" t="b">
        <f t="shared" si="12"/>
        <v>0</v>
      </c>
    </row>
    <row r="327" spans="2:13" ht="22.5">
      <c r="B327" s="15">
        <v>315</v>
      </c>
      <c r="C327" s="15"/>
      <c r="D327" s="21" t="str">
        <f t="shared" si="13"/>
        <v/>
      </c>
      <c r="E327" s="60"/>
      <c r="F327" s="110" t="str">
        <f t="shared" si="14"/>
        <v/>
      </c>
      <c r="G327" s="60"/>
      <c r="H327" s="60"/>
      <c r="I327" s="60"/>
      <c r="J327" s="88"/>
      <c r="K327" s="89"/>
      <c r="L327" s="90"/>
      <c r="M327" s="10" t="b">
        <f t="shared" si="12"/>
        <v>0</v>
      </c>
    </row>
    <row r="328" spans="2:13" ht="22.5">
      <c r="B328" s="15">
        <v>316</v>
      </c>
      <c r="C328" s="15"/>
      <c r="D328" s="21" t="str">
        <f t="shared" si="13"/>
        <v/>
      </c>
      <c r="E328" s="60"/>
      <c r="F328" s="110" t="str">
        <f t="shared" si="14"/>
        <v/>
      </c>
      <c r="G328" s="60"/>
      <c r="H328" s="60"/>
      <c r="I328" s="60"/>
      <c r="J328" s="88"/>
      <c r="K328" s="89"/>
      <c r="L328" s="90"/>
      <c r="M328" s="10" t="b">
        <f t="shared" si="12"/>
        <v>0</v>
      </c>
    </row>
    <row r="329" spans="2:13" ht="22.5">
      <c r="B329" s="15">
        <v>317</v>
      </c>
      <c r="C329" s="15"/>
      <c r="D329" s="21" t="str">
        <f t="shared" si="13"/>
        <v/>
      </c>
      <c r="E329" s="60"/>
      <c r="F329" s="110" t="str">
        <f t="shared" si="14"/>
        <v/>
      </c>
      <c r="G329" s="60"/>
      <c r="H329" s="60"/>
      <c r="I329" s="60"/>
      <c r="J329" s="88"/>
      <c r="K329" s="89"/>
      <c r="L329" s="90"/>
      <c r="M329" s="10" t="b">
        <f t="shared" si="12"/>
        <v>0</v>
      </c>
    </row>
    <row r="330" spans="2:13" ht="22.5">
      <c r="B330" s="15">
        <v>318</v>
      </c>
      <c r="C330" s="15"/>
      <c r="D330" s="21" t="str">
        <f t="shared" si="13"/>
        <v/>
      </c>
      <c r="E330" s="60"/>
      <c r="F330" s="110" t="str">
        <f t="shared" si="14"/>
        <v/>
      </c>
      <c r="G330" s="60"/>
      <c r="H330" s="60"/>
      <c r="I330" s="60"/>
      <c r="J330" s="88"/>
      <c r="K330" s="89"/>
      <c r="L330" s="90"/>
      <c r="M330" s="10" t="b">
        <f t="shared" si="12"/>
        <v>0</v>
      </c>
    </row>
    <row r="331" spans="2:13" ht="22.5">
      <c r="B331" s="15">
        <v>319</v>
      </c>
      <c r="C331" s="15"/>
      <c r="D331" s="21" t="str">
        <f t="shared" si="13"/>
        <v/>
      </c>
      <c r="E331" s="60"/>
      <c r="F331" s="110" t="str">
        <f t="shared" si="14"/>
        <v/>
      </c>
      <c r="G331" s="60"/>
      <c r="H331" s="60"/>
      <c r="I331" s="60"/>
      <c r="J331" s="88"/>
      <c r="K331" s="89"/>
      <c r="L331" s="90"/>
      <c r="M331" s="10" t="b">
        <f t="shared" si="12"/>
        <v>0</v>
      </c>
    </row>
    <row r="332" spans="2:13" ht="22.5">
      <c r="B332" s="15">
        <v>320</v>
      </c>
      <c r="C332" s="15"/>
      <c r="D332" s="21" t="str">
        <f t="shared" si="13"/>
        <v/>
      </c>
      <c r="E332" s="60"/>
      <c r="F332" s="110" t="str">
        <f t="shared" si="14"/>
        <v/>
      </c>
      <c r="G332" s="60"/>
      <c r="H332" s="60"/>
      <c r="I332" s="60"/>
      <c r="J332" s="88"/>
      <c r="K332" s="89"/>
      <c r="L332" s="90"/>
      <c r="M332" s="10" t="b">
        <f t="shared" si="12"/>
        <v>0</v>
      </c>
    </row>
    <row r="333" spans="2:13" ht="22.5">
      <c r="B333" s="15">
        <v>321</v>
      </c>
      <c r="C333" s="15"/>
      <c r="D333" s="21" t="str">
        <f t="shared" si="13"/>
        <v/>
      </c>
      <c r="E333" s="60"/>
      <c r="F333" s="110" t="str">
        <f t="shared" si="14"/>
        <v/>
      </c>
      <c r="G333" s="60"/>
      <c r="H333" s="60"/>
      <c r="I333" s="60"/>
      <c r="J333" s="88"/>
      <c r="K333" s="89"/>
      <c r="L333" s="90"/>
      <c r="M333" s="10" t="b">
        <f t="shared" ref="M333:M396" si="15">IF(COUNTA(E333,G333)=0,FALSE,TRUE)</f>
        <v>0</v>
      </c>
    </row>
    <row r="334" spans="2:13" ht="22.5">
      <c r="B334" s="15">
        <v>322</v>
      </c>
      <c r="C334" s="15"/>
      <c r="D334" s="21" t="str">
        <f t="shared" ref="D334:D397" si="16">IF(LEN(E334)=0,"",IF((AND(ISNUMBER(VALUE(E334)),LEN(E334)=12)),3,IF(AND(ISNUMBER(VALUE(E334)),(LEN(E334)=10)),1,IF(AND(OR((LEFT(E334)="R"),(LEFT(E334)="R")),(ISNUMBER(VALUE(RIGHT(E334,9)))),(LEN(E334)=10)),2,FALSE))))</f>
        <v/>
      </c>
      <c r="E334" s="60"/>
      <c r="F334" s="110" t="str">
        <f t="shared" ref="F334:F397" si="17">IF(D334=FALSE,"←ご確認ください",IF(OR(D334=1,D334=2,D334=3),"形式OK",""))</f>
        <v/>
      </c>
      <c r="G334" s="60"/>
      <c r="H334" s="60"/>
      <c r="I334" s="60"/>
      <c r="J334" s="88"/>
      <c r="K334" s="89"/>
      <c r="L334" s="90"/>
      <c r="M334" s="10" t="b">
        <f t="shared" si="15"/>
        <v>0</v>
      </c>
    </row>
    <row r="335" spans="2:13" ht="22.5">
      <c r="B335" s="15">
        <v>323</v>
      </c>
      <c r="C335" s="15"/>
      <c r="D335" s="21" t="str">
        <f t="shared" si="16"/>
        <v/>
      </c>
      <c r="E335" s="60"/>
      <c r="F335" s="110" t="str">
        <f t="shared" si="17"/>
        <v/>
      </c>
      <c r="G335" s="60"/>
      <c r="H335" s="60"/>
      <c r="I335" s="60"/>
      <c r="J335" s="88"/>
      <c r="K335" s="89"/>
      <c r="L335" s="90"/>
      <c r="M335" s="10" t="b">
        <f t="shared" si="15"/>
        <v>0</v>
      </c>
    </row>
    <row r="336" spans="2:13" ht="22.5">
      <c r="B336" s="15">
        <v>324</v>
      </c>
      <c r="C336" s="15"/>
      <c r="D336" s="21" t="str">
        <f t="shared" si="16"/>
        <v/>
      </c>
      <c r="E336" s="60"/>
      <c r="F336" s="110" t="str">
        <f t="shared" si="17"/>
        <v/>
      </c>
      <c r="G336" s="60"/>
      <c r="H336" s="60"/>
      <c r="I336" s="60"/>
      <c r="J336" s="88"/>
      <c r="K336" s="89"/>
      <c r="L336" s="90"/>
      <c r="M336" s="10" t="b">
        <f t="shared" si="15"/>
        <v>0</v>
      </c>
    </row>
    <row r="337" spans="2:13" ht="22.5">
      <c r="B337" s="15">
        <v>325</v>
      </c>
      <c r="C337" s="15"/>
      <c r="D337" s="21" t="str">
        <f t="shared" si="16"/>
        <v/>
      </c>
      <c r="E337" s="60"/>
      <c r="F337" s="110" t="str">
        <f t="shared" si="17"/>
        <v/>
      </c>
      <c r="G337" s="60"/>
      <c r="H337" s="60"/>
      <c r="I337" s="60"/>
      <c r="J337" s="88"/>
      <c r="K337" s="89"/>
      <c r="L337" s="90"/>
      <c r="M337" s="10" t="b">
        <f t="shared" si="15"/>
        <v>0</v>
      </c>
    </row>
    <row r="338" spans="2:13" ht="22.5">
      <c r="B338" s="15">
        <v>326</v>
      </c>
      <c r="C338" s="15"/>
      <c r="D338" s="21" t="str">
        <f t="shared" si="16"/>
        <v/>
      </c>
      <c r="E338" s="60"/>
      <c r="F338" s="110" t="str">
        <f t="shared" si="17"/>
        <v/>
      </c>
      <c r="G338" s="60"/>
      <c r="H338" s="60"/>
      <c r="I338" s="60"/>
      <c r="J338" s="88"/>
      <c r="K338" s="89"/>
      <c r="L338" s="90"/>
      <c r="M338" s="10" t="b">
        <f t="shared" si="15"/>
        <v>0</v>
      </c>
    </row>
    <row r="339" spans="2:13" ht="22.5">
      <c r="B339" s="15">
        <v>327</v>
      </c>
      <c r="C339" s="15"/>
      <c r="D339" s="21" t="str">
        <f t="shared" si="16"/>
        <v/>
      </c>
      <c r="E339" s="60"/>
      <c r="F339" s="110" t="str">
        <f t="shared" si="17"/>
        <v/>
      </c>
      <c r="G339" s="60"/>
      <c r="H339" s="60"/>
      <c r="I339" s="60"/>
      <c r="J339" s="88"/>
      <c r="K339" s="89"/>
      <c r="L339" s="90"/>
      <c r="M339" s="10" t="b">
        <f t="shared" si="15"/>
        <v>0</v>
      </c>
    </row>
    <row r="340" spans="2:13" ht="22.5">
      <c r="B340" s="15">
        <v>328</v>
      </c>
      <c r="C340" s="15"/>
      <c r="D340" s="21" t="str">
        <f t="shared" si="16"/>
        <v/>
      </c>
      <c r="E340" s="60"/>
      <c r="F340" s="110" t="str">
        <f t="shared" si="17"/>
        <v/>
      </c>
      <c r="G340" s="60"/>
      <c r="H340" s="60"/>
      <c r="I340" s="60"/>
      <c r="J340" s="88"/>
      <c r="K340" s="89"/>
      <c r="L340" s="90"/>
      <c r="M340" s="10" t="b">
        <f t="shared" si="15"/>
        <v>0</v>
      </c>
    </row>
    <row r="341" spans="2:13" ht="22.5">
      <c r="B341" s="15">
        <v>329</v>
      </c>
      <c r="C341" s="15"/>
      <c r="D341" s="21" t="str">
        <f t="shared" si="16"/>
        <v/>
      </c>
      <c r="E341" s="60"/>
      <c r="F341" s="110" t="str">
        <f t="shared" si="17"/>
        <v/>
      </c>
      <c r="G341" s="60"/>
      <c r="H341" s="60"/>
      <c r="I341" s="60"/>
      <c r="J341" s="88"/>
      <c r="K341" s="89"/>
      <c r="L341" s="90"/>
      <c r="M341" s="10" t="b">
        <f t="shared" si="15"/>
        <v>0</v>
      </c>
    </row>
    <row r="342" spans="2:13" ht="22.5">
      <c r="B342" s="15">
        <v>330</v>
      </c>
      <c r="C342" s="15"/>
      <c r="D342" s="21" t="str">
        <f t="shared" si="16"/>
        <v/>
      </c>
      <c r="E342" s="60"/>
      <c r="F342" s="110" t="str">
        <f t="shared" si="17"/>
        <v/>
      </c>
      <c r="G342" s="60"/>
      <c r="H342" s="60"/>
      <c r="I342" s="60"/>
      <c r="J342" s="88"/>
      <c r="K342" s="89"/>
      <c r="L342" s="90"/>
      <c r="M342" s="10" t="b">
        <f t="shared" si="15"/>
        <v>0</v>
      </c>
    </row>
    <row r="343" spans="2:13" ht="22.5">
      <c r="B343" s="15">
        <v>331</v>
      </c>
      <c r="C343" s="15"/>
      <c r="D343" s="21" t="str">
        <f t="shared" si="16"/>
        <v/>
      </c>
      <c r="E343" s="60"/>
      <c r="F343" s="110" t="str">
        <f t="shared" si="17"/>
        <v/>
      </c>
      <c r="G343" s="60"/>
      <c r="H343" s="60"/>
      <c r="I343" s="60"/>
      <c r="J343" s="88"/>
      <c r="K343" s="89"/>
      <c r="L343" s="90"/>
      <c r="M343" s="10" t="b">
        <f t="shared" si="15"/>
        <v>0</v>
      </c>
    </row>
    <row r="344" spans="2:13" ht="22.5">
      <c r="B344" s="15">
        <v>332</v>
      </c>
      <c r="C344" s="15"/>
      <c r="D344" s="21" t="str">
        <f t="shared" si="16"/>
        <v/>
      </c>
      <c r="E344" s="60"/>
      <c r="F344" s="110" t="str">
        <f t="shared" si="17"/>
        <v/>
      </c>
      <c r="G344" s="60"/>
      <c r="H344" s="60"/>
      <c r="I344" s="60"/>
      <c r="J344" s="88"/>
      <c r="K344" s="89"/>
      <c r="L344" s="90"/>
      <c r="M344" s="10" t="b">
        <f t="shared" si="15"/>
        <v>0</v>
      </c>
    </row>
    <row r="345" spans="2:13" ht="22.5">
      <c r="B345" s="15">
        <v>333</v>
      </c>
      <c r="C345" s="15"/>
      <c r="D345" s="21" t="str">
        <f t="shared" si="16"/>
        <v/>
      </c>
      <c r="E345" s="60"/>
      <c r="F345" s="110" t="str">
        <f t="shared" si="17"/>
        <v/>
      </c>
      <c r="G345" s="60"/>
      <c r="H345" s="60"/>
      <c r="I345" s="60"/>
      <c r="J345" s="88"/>
      <c r="K345" s="89"/>
      <c r="L345" s="90"/>
      <c r="M345" s="10" t="b">
        <f t="shared" si="15"/>
        <v>0</v>
      </c>
    </row>
    <row r="346" spans="2:13" ht="22.5">
      <c r="B346" s="15">
        <v>334</v>
      </c>
      <c r="C346" s="15"/>
      <c r="D346" s="21" t="str">
        <f t="shared" si="16"/>
        <v/>
      </c>
      <c r="E346" s="60"/>
      <c r="F346" s="110" t="str">
        <f t="shared" si="17"/>
        <v/>
      </c>
      <c r="G346" s="60"/>
      <c r="H346" s="60"/>
      <c r="I346" s="60"/>
      <c r="J346" s="88"/>
      <c r="K346" s="89"/>
      <c r="L346" s="90"/>
      <c r="M346" s="10" t="b">
        <f t="shared" si="15"/>
        <v>0</v>
      </c>
    </row>
    <row r="347" spans="2:13" ht="22.5">
      <c r="B347" s="15">
        <v>335</v>
      </c>
      <c r="C347" s="15"/>
      <c r="D347" s="21" t="str">
        <f t="shared" si="16"/>
        <v/>
      </c>
      <c r="E347" s="60"/>
      <c r="F347" s="110" t="str">
        <f t="shared" si="17"/>
        <v/>
      </c>
      <c r="G347" s="60"/>
      <c r="H347" s="60"/>
      <c r="I347" s="60"/>
      <c r="J347" s="88"/>
      <c r="K347" s="89"/>
      <c r="L347" s="90"/>
      <c r="M347" s="10" t="b">
        <f t="shared" si="15"/>
        <v>0</v>
      </c>
    </row>
    <row r="348" spans="2:13" ht="22.5">
      <c r="B348" s="15">
        <v>336</v>
      </c>
      <c r="C348" s="15"/>
      <c r="D348" s="21" t="str">
        <f t="shared" si="16"/>
        <v/>
      </c>
      <c r="E348" s="60"/>
      <c r="F348" s="110" t="str">
        <f t="shared" si="17"/>
        <v/>
      </c>
      <c r="G348" s="60"/>
      <c r="H348" s="60"/>
      <c r="I348" s="60"/>
      <c r="J348" s="88"/>
      <c r="K348" s="89"/>
      <c r="L348" s="90"/>
      <c r="M348" s="10" t="b">
        <f t="shared" si="15"/>
        <v>0</v>
      </c>
    </row>
    <row r="349" spans="2:13" ht="22.5">
      <c r="B349" s="15">
        <v>337</v>
      </c>
      <c r="C349" s="15"/>
      <c r="D349" s="21" t="str">
        <f t="shared" si="16"/>
        <v/>
      </c>
      <c r="E349" s="60"/>
      <c r="F349" s="110" t="str">
        <f t="shared" si="17"/>
        <v/>
      </c>
      <c r="G349" s="60"/>
      <c r="H349" s="60"/>
      <c r="I349" s="60"/>
      <c r="J349" s="88"/>
      <c r="K349" s="89"/>
      <c r="L349" s="90"/>
      <c r="M349" s="10" t="b">
        <f t="shared" si="15"/>
        <v>0</v>
      </c>
    </row>
    <row r="350" spans="2:13" ht="22.5">
      <c r="B350" s="15">
        <v>338</v>
      </c>
      <c r="C350" s="15"/>
      <c r="D350" s="21" t="str">
        <f t="shared" si="16"/>
        <v/>
      </c>
      <c r="E350" s="60"/>
      <c r="F350" s="110" t="str">
        <f t="shared" si="17"/>
        <v/>
      </c>
      <c r="G350" s="60"/>
      <c r="H350" s="60"/>
      <c r="I350" s="60"/>
      <c r="J350" s="88"/>
      <c r="K350" s="89"/>
      <c r="L350" s="90"/>
      <c r="M350" s="10" t="b">
        <f t="shared" si="15"/>
        <v>0</v>
      </c>
    </row>
    <row r="351" spans="2:13" ht="22.5">
      <c r="B351" s="15">
        <v>339</v>
      </c>
      <c r="C351" s="15"/>
      <c r="D351" s="21" t="str">
        <f t="shared" si="16"/>
        <v/>
      </c>
      <c r="E351" s="60"/>
      <c r="F351" s="110" t="str">
        <f t="shared" si="17"/>
        <v/>
      </c>
      <c r="G351" s="60"/>
      <c r="H351" s="60"/>
      <c r="I351" s="60"/>
      <c r="J351" s="88"/>
      <c r="K351" s="89"/>
      <c r="L351" s="90"/>
      <c r="M351" s="10" t="b">
        <f t="shared" si="15"/>
        <v>0</v>
      </c>
    </row>
    <row r="352" spans="2:13" ht="22.5">
      <c r="B352" s="15">
        <v>340</v>
      </c>
      <c r="C352" s="15"/>
      <c r="D352" s="21" t="str">
        <f t="shared" si="16"/>
        <v/>
      </c>
      <c r="E352" s="60"/>
      <c r="F352" s="110" t="str">
        <f t="shared" si="17"/>
        <v/>
      </c>
      <c r="G352" s="60"/>
      <c r="H352" s="60"/>
      <c r="I352" s="60"/>
      <c r="J352" s="88"/>
      <c r="K352" s="89"/>
      <c r="L352" s="90"/>
      <c r="M352" s="10" t="b">
        <f t="shared" si="15"/>
        <v>0</v>
      </c>
    </row>
    <row r="353" spans="2:13" ht="22.5">
      <c r="B353" s="15">
        <v>341</v>
      </c>
      <c r="C353" s="15"/>
      <c r="D353" s="21" t="str">
        <f t="shared" si="16"/>
        <v/>
      </c>
      <c r="E353" s="60"/>
      <c r="F353" s="110" t="str">
        <f t="shared" si="17"/>
        <v/>
      </c>
      <c r="G353" s="60"/>
      <c r="H353" s="60"/>
      <c r="I353" s="60"/>
      <c r="J353" s="88"/>
      <c r="K353" s="89"/>
      <c r="L353" s="90"/>
      <c r="M353" s="10" t="b">
        <f t="shared" si="15"/>
        <v>0</v>
      </c>
    </row>
    <row r="354" spans="2:13" ht="22.5">
      <c r="B354" s="15">
        <v>342</v>
      </c>
      <c r="C354" s="15"/>
      <c r="D354" s="21" t="str">
        <f t="shared" si="16"/>
        <v/>
      </c>
      <c r="E354" s="60"/>
      <c r="F354" s="110" t="str">
        <f t="shared" si="17"/>
        <v/>
      </c>
      <c r="G354" s="60"/>
      <c r="H354" s="60"/>
      <c r="I354" s="60"/>
      <c r="J354" s="88"/>
      <c r="K354" s="89"/>
      <c r="L354" s="90"/>
      <c r="M354" s="10" t="b">
        <f t="shared" si="15"/>
        <v>0</v>
      </c>
    </row>
    <row r="355" spans="2:13" ht="22.5">
      <c r="B355" s="15">
        <v>343</v>
      </c>
      <c r="C355" s="15"/>
      <c r="D355" s="21" t="str">
        <f t="shared" si="16"/>
        <v/>
      </c>
      <c r="E355" s="60"/>
      <c r="F355" s="110" t="str">
        <f t="shared" si="17"/>
        <v/>
      </c>
      <c r="G355" s="60"/>
      <c r="H355" s="60"/>
      <c r="I355" s="60"/>
      <c r="J355" s="88"/>
      <c r="K355" s="89"/>
      <c r="L355" s="90"/>
      <c r="M355" s="10" t="b">
        <f t="shared" si="15"/>
        <v>0</v>
      </c>
    </row>
    <row r="356" spans="2:13" ht="22.5">
      <c r="B356" s="15">
        <v>344</v>
      </c>
      <c r="C356" s="15"/>
      <c r="D356" s="21" t="str">
        <f t="shared" si="16"/>
        <v/>
      </c>
      <c r="E356" s="60"/>
      <c r="F356" s="110" t="str">
        <f t="shared" si="17"/>
        <v/>
      </c>
      <c r="G356" s="60"/>
      <c r="H356" s="60"/>
      <c r="I356" s="60"/>
      <c r="J356" s="88"/>
      <c r="K356" s="89"/>
      <c r="L356" s="90"/>
      <c r="M356" s="10" t="b">
        <f t="shared" si="15"/>
        <v>0</v>
      </c>
    </row>
    <row r="357" spans="2:13" ht="22.5">
      <c r="B357" s="15">
        <v>345</v>
      </c>
      <c r="C357" s="15"/>
      <c r="D357" s="21" t="str">
        <f t="shared" si="16"/>
        <v/>
      </c>
      <c r="E357" s="60"/>
      <c r="F357" s="110" t="str">
        <f t="shared" si="17"/>
        <v/>
      </c>
      <c r="G357" s="60"/>
      <c r="H357" s="60"/>
      <c r="I357" s="60"/>
      <c r="J357" s="88"/>
      <c r="K357" s="89"/>
      <c r="L357" s="90"/>
      <c r="M357" s="10" t="b">
        <f t="shared" si="15"/>
        <v>0</v>
      </c>
    </row>
    <row r="358" spans="2:13" ht="22.5">
      <c r="B358" s="15">
        <v>346</v>
      </c>
      <c r="C358" s="15"/>
      <c r="D358" s="21" t="str">
        <f t="shared" si="16"/>
        <v/>
      </c>
      <c r="E358" s="60"/>
      <c r="F358" s="110" t="str">
        <f t="shared" si="17"/>
        <v/>
      </c>
      <c r="G358" s="60"/>
      <c r="H358" s="60"/>
      <c r="I358" s="60"/>
      <c r="J358" s="88"/>
      <c r="K358" s="89"/>
      <c r="L358" s="90"/>
      <c r="M358" s="10" t="b">
        <f t="shared" si="15"/>
        <v>0</v>
      </c>
    </row>
    <row r="359" spans="2:13" ht="22.5">
      <c r="B359" s="15">
        <v>347</v>
      </c>
      <c r="C359" s="15"/>
      <c r="D359" s="21" t="str">
        <f t="shared" si="16"/>
        <v/>
      </c>
      <c r="E359" s="60"/>
      <c r="F359" s="110" t="str">
        <f t="shared" si="17"/>
        <v/>
      </c>
      <c r="G359" s="60"/>
      <c r="H359" s="60"/>
      <c r="I359" s="60"/>
      <c r="J359" s="88"/>
      <c r="K359" s="89"/>
      <c r="L359" s="90"/>
      <c r="M359" s="10" t="b">
        <f t="shared" si="15"/>
        <v>0</v>
      </c>
    </row>
    <row r="360" spans="2:13" ht="22.5">
      <c r="B360" s="15">
        <v>348</v>
      </c>
      <c r="C360" s="15"/>
      <c r="D360" s="21" t="str">
        <f t="shared" si="16"/>
        <v/>
      </c>
      <c r="E360" s="60"/>
      <c r="F360" s="110" t="str">
        <f t="shared" si="17"/>
        <v/>
      </c>
      <c r="G360" s="60"/>
      <c r="H360" s="60"/>
      <c r="I360" s="60"/>
      <c r="J360" s="88"/>
      <c r="K360" s="89"/>
      <c r="L360" s="90"/>
      <c r="M360" s="10" t="b">
        <f t="shared" si="15"/>
        <v>0</v>
      </c>
    </row>
    <row r="361" spans="2:13" ht="22.5">
      <c r="B361" s="15">
        <v>349</v>
      </c>
      <c r="C361" s="15"/>
      <c r="D361" s="21" t="str">
        <f t="shared" si="16"/>
        <v/>
      </c>
      <c r="E361" s="60"/>
      <c r="F361" s="110" t="str">
        <f t="shared" si="17"/>
        <v/>
      </c>
      <c r="G361" s="60"/>
      <c r="H361" s="60"/>
      <c r="I361" s="60"/>
      <c r="J361" s="88"/>
      <c r="K361" s="89"/>
      <c r="L361" s="90"/>
      <c r="M361" s="10" t="b">
        <f t="shared" si="15"/>
        <v>0</v>
      </c>
    </row>
    <row r="362" spans="2:13" ht="22.5">
      <c r="B362" s="15">
        <v>350</v>
      </c>
      <c r="C362" s="15"/>
      <c r="D362" s="21" t="str">
        <f t="shared" si="16"/>
        <v/>
      </c>
      <c r="E362" s="60"/>
      <c r="F362" s="110" t="str">
        <f t="shared" si="17"/>
        <v/>
      </c>
      <c r="G362" s="60"/>
      <c r="H362" s="60"/>
      <c r="I362" s="60"/>
      <c r="J362" s="88"/>
      <c r="K362" s="89"/>
      <c r="L362" s="90"/>
      <c r="M362" s="10" t="b">
        <f t="shared" si="15"/>
        <v>0</v>
      </c>
    </row>
    <row r="363" spans="2:13" ht="22.5">
      <c r="B363" s="15">
        <v>351</v>
      </c>
      <c r="C363" s="15"/>
      <c r="D363" s="21" t="str">
        <f t="shared" si="16"/>
        <v/>
      </c>
      <c r="E363" s="60"/>
      <c r="F363" s="110" t="str">
        <f t="shared" si="17"/>
        <v/>
      </c>
      <c r="G363" s="60"/>
      <c r="H363" s="60"/>
      <c r="I363" s="60"/>
      <c r="J363" s="88"/>
      <c r="K363" s="89"/>
      <c r="L363" s="90"/>
      <c r="M363" s="10" t="b">
        <f t="shared" si="15"/>
        <v>0</v>
      </c>
    </row>
    <row r="364" spans="2:13" ht="22.5">
      <c r="B364" s="15">
        <v>352</v>
      </c>
      <c r="C364" s="15"/>
      <c r="D364" s="21" t="str">
        <f t="shared" si="16"/>
        <v/>
      </c>
      <c r="E364" s="60"/>
      <c r="F364" s="110" t="str">
        <f t="shared" si="17"/>
        <v/>
      </c>
      <c r="G364" s="60"/>
      <c r="H364" s="60"/>
      <c r="I364" s="60"/>
      <c r="J364" s="88"/>
      <c r="K364" s="89"/>
      <c r="L364" s="90"/>
      <c r="M364" s="10" t="b">
        <f t="shared" si="15"/>
        <v>0</v>
      </c>
    </row>
    <row r="365" spans="2:13" ht="22.5">
      <c r="B365" s="15">
        <v>353</v>
      </c>
      <c r="C365" s="15"/>
      <c r="D365" s="21" t="str">
        <f t="shared" si="16"/>
        <v/>
      </c>
      <c r="E365" s="60"/>
      <c r="F365" s="110" t="str">
        <f t="shared" si="17"/>
        <v/>
      </c>
      <c r="G365" s="60"/>
      <c r="H365" s="60"/>
      <c r="I365" s="60"/>
      <c r="J365" s="88"/>
      <c r="K365" s="89"/>
      <c r="L365" s="90"/>
      <c r="M365" s="10" t="b">
        <f t="shared" si="15"/>
        <v>0</v>
      </c>
    </row>
    <row r="366" spans="2:13" ht="22.5">
      <c r="B366" s="15">
        <v>354</v>
      </c>
      <c r="C366" s="15"/>
      <c r="D366" s="21" t="str">
        <f t="shared" si="16"/>
        <v/>
      </c>
      <c r="E366" s="60"/>
      <c r="F366" s="110" t="str">
        <f t="shared" si="17"/>
        <v/>
      </c>
      <c r="G366" s="60"/>
      <c r="H366" s="60"/>
      <c r="I366" s="60"/>
      <c r="J366" s="88"/>
      <c r="K366" s="89"/>
      <c r="L366" s="90"/>
      <c r="M366" s="10" t="b">
        <f t="shared" si="15"/>
        <v>0</v>
      </c>
    </row>
    <row r="367" spans="2:13" ht="22.5">
      <c r="B367" s="15">
        <v>355</v>
      </c>
      <c r="C367" s="15"/>
      <c r="D367" s="21" t="str">
        <f t="shared" si="16"/>
        <v/>
      </c>
      <c r="E367" s="60"/>
      <c r="F367" s="110" t="str">
        <f t="shared" si="17"/>
        <v/>
      </c>
      <c r="G367" s="60"/>
      <c r="H367" s="60"/>
      <c r="I367" s="60"/>
      <c r="J367" s="88"/>
      <c r="K367" s="89"/>
      <c r="L367" s="90"/>
      <c r="M367" s="10" t="b">
        <f t="shared" si="15"/>
        <v>0</v>
      </c>
    </row>
    <row r="368" spans="2:13" ht="22.5">
      <c r="B368" s="15">
        <v>356</v>
      </c>
      <c r="C368" s="15"/>
      <c r="D368" s="21" t="str">
        <f t="shared" si="16"/>
        <v/>
      </c>
      <c r="E368" s="60"/>
      <c r="F368" s="110" t="str">
        <f t="shared" si="17"/>
        <v/>
      </c>
      <c r="G368" s="60"/>
      <c r="H368" s="60"/>
      <c r="I368" s="60"/>
      <c r="J368" s="88"/>
      <c r="K368" s="89"/>
      <c r="L368" s="90"/>
      <c r="M368" s="10" t="b">
        <f t="shared" si="15"/>
        <v>0</v>
      </c>
    </row>
    <row r="369" spans="2:13" ht="22.5">
      <c r="B369" s="15">
        <v>357</v>
      </c>
      <c r="C369" s="15"/>
      <c r="D369" s="21" t="str">
        <f t="shared" si="16"/>
        <v/>
      </c>
      <c r="E369" s="60"/>
      <c r="F369" s="110" t="str">
        <f t="shared" si="17"/>
        <v/>
      </c>
      <c r="G369" s="60"/>
      <c r="H369" s="60"/>
      <c r="I369" s="60"/>
      <c r="J369" s="88"/>
      <c r="K369" s="89"/>
      <c r="L369" s="90"/>
      <c r="M369" s="10" t="b">
        <f t="shared" si="15"/>
        <v>0</v>
      </c>
    </row>
    <row r="370" spans="2:13" ht="22.5">
      <c r="B370" s="15">
        <v>358</v>
      </c>
      <c r="C370" s="15"/>
      <c r="D370" s="21" t="str">
        <f t="shared" si="16"/>
        <v/>
      </c>
      <c r="E370" s="60"/>
      <c r="F370" s="110" t="str">
        <f t="shared" si="17"/>
        <v/>
      </c>
      <c r="G370" s="60"/>
      <c r="H370" s="60"/>
      <c r="I370" s="60"/>
      <c r="J370" s="88"/>
      <c r="K370" s="89"/>
      <c r="L370" s="90"/>
      <c r="M370" s="10" t="b">
        <f t="shared" si="15"/>
        <v>0</v>
      </c>
    </row>
    <row r="371" spans="2:13" ht="22.5">
      <c r="B371" s="15">
        <v>359</v>
      </c>
      <c r="C371" s="15"/>
      <c r="D371" s="21" t="str">
        <f t="shared" si="16"/>
        <v/>
      </c>
      <c r="E371" s="60"/>
      <c r="F371" s="110" t="str">
        <f t="shared" si="17"/>
        <v/>
      </c>
      <c r="G371" s="60"/>
      <c r="H371" s="60"/>
      <c r="I371" s="60"/>
      <c r="J371" s="88"/>
      <c r="K371" s="89"/>
      <c r="L371" s="90"/>
      <c r="M371" s="10" t="b">
        <f t="shared" si="15"/>
        <v>0</v>
      </c>
    </row>
    <row r="372" spans="2:13" ht="22.5">
      <c r="B372" s="15">
        <v>360</v>
      </c>
      <c r="C372" s="15"/>
      <c r="D372" s="21" t="str">
        <f t="shared" si="16"/>
        <v/>
      </c>
      <c r="E372" s="60"/>
      <c r="F372" s="110" t="str">
        <f t="shared" si="17"/>
        <v/>
      </c>
      <c r="G372" s="60"/>
      <c r="H372" s="60"/>
      <c r="I372" s="60"/>
      <c r="J372" s="88"/>
      <c r="K372" s="89"/>
      <c r="L372" s="90"/>
      <c r="M372" s="10" t="b">
        <f t="shared" si="15"/>
        <v>0</v>
      </c>
    </row>
    <row r="373" spans="2:13" ht="22.5">
      <c r="B373" s="15">
        <v>361</v>
      </c>
      <c r="C373" s="15"/>
      <c r="D373" s="21" t="str">
        <f t="shared" si="16"/>
        <v/>
      </c>
      <c r="E373" s="60"/>
      <c r="F373" s="110" t="str">
        <f t="shared" si="17"/>
        <v/>
      </c>
      <c r="G373" s="60"/>
      <c r="H373" s="60"/>
      <c r="I373" s="60"/>
      <c r="J373" s="88"/>
      <c r="K373" s="89"/>
      <c r="L373" s="90"/>
      <c r="M373" s="10" t="b">
        <f t="shared" si="15"/>
        <v>0</v>
      </c>
    </row>
    <row r="374" spans="2:13" ht="22.5">
      <c r="B374" s="15">
        <v>362</v>
      </c>
      <c r="C374" s="15"/>
      <c r="D374" s="21" t="str">
        <f t="shared" si="16"/>
        <v/>
      </c>
      <c r="E374" s="60"/>
      <c r="F374" s="110" t="str">
        <f t="shared" si="17"/>
        <v/>
      </c>
      <c r="G374" s="60"/>
      <c r="H374" s="60"/>
      <c r="I374" s="60"/>
      <c r="J374" s="88"/>
      <c r="K374" s="89"/>
      <c r="L374" s="90"/>
      <c r="M374" s="10" t="b">
        <f t="shared" si="15"/>
        <v>0</v>
      </c>
    </row>
    <row r="375" spans="2:13" ht="22.5">
      <c r="B375" s="15">
        <v>363</v>
      </c>
      <c r="C375" s="15"/>
      <c r="D375" s="21" t="str">
        <f t="shared" si="16"/>
        <v/>
      </c>
      <c r="E375" s="60"/>
      <c r="F375" s="110" t="str">
        <f t="shared" si="17"/>
        <v/>
      </c>
      <c r="G375" s="60"/>
      <c r="H375" s="60"/>
      <c r="I375" s="60"/>
      <c r="J375" s="88"/>
      <c r="K375" s="89"/>
      <c r="L375" s="90"/>
      <c r="M375" s="10" t="b">
        <f t="shared" si="15"/>
        <v>0</v>
      </c>
    </row>
    <row r="376" spans="2:13" ht="22.5">
      <c r="B376" s="15">
        <v>364</v>
      </c>
      <c r="C376" s="15"/>
      <c r="D376" s="21" t="str">
        <f t="shared" si="16"/>
        <v/>
      </c>
      <c r="E376" s="60"/>
      <c r="F376" s="110" t="str">
        <f t="shared" si="17"/>
        <v/>
      </c>
      <c r="G376" s="60"/>
      <c r="H376" s="60"/>
      <c r="I376" s="60"/>
      <c r="J376" s="88"/>
      <c r="K376" s="89"/>
      <c r="L376" s="90"/>
      <c r="M376" s="10" t="b">
        <f t="shared" si="15"/>
        <v>0</v>
      </c>
    </row>
    <row r="377" spans="2:13" ht="22.5">
      <c r="B377" s="15">
        <v>365</v>
      </c>
      <c r="C377" s="15"/>
      <c r="D377" s="21" t="str">
        <f t="shared" si="16"/>
        <v/>
      </c>
      <c r="E377" s="60"/>
      <c r="F377" s="110" t="str">
        <f t="shared" si="17"/>
        <v/>
      </c>
      <c r="G377" s="60"/>
      <c r="H377" s="60"/>
      <c r="I377" s="60"/>
      <c r="J377" s="88"/>
      <c r="K377" s="89"/>
      <c r="L377" s="90"/>
      <c r="M377" s="10" t="b">
        <f t="shared" si="15"/>
        <v>0</v>
      </c>
    </row>
    <row r="378" spans="2:13" ht="22.5">
      <c r="B378" s="15">
        <v>366</v>
      </c>
      <c r="C378" s="15"/>
      <c r="D378" s="21" t="str">
        <f t="shared" si="16"/>
        <v/>
      </c>
      <c r="E378" s="60"/>
      <c r="F378" s="110" t="str">
        <f t="shared" si="17"/>
        <v/>
      </c>
      <c r="G378" s="60"/>
      <c r="H378" s="60"/>
      <c r="I378" s="60"/>
      <c r="J378" s="88"/>
      <c r="K378" s="89"/>
      <c r="L378" s="90"/>
      <c r="M378" s="10" t="b">
        <f t="shared" si="15"/>
        <v>0</v>
      </c>
    </row>
    <row r="379" spans="2:13" ht="22.5">
      <c r="B379" s="15">
        <v>367</v>
      </c>
      <c r="C379" s="15"/>
      <c r="D379" s="21" t="str">
        <f t="shared" si="16"/>
        <v/>
      </c>
      <c r="E379" s="60"/>
      <c r="F379" s="110" t="str">
        <f t="shared" si="17"/>
        <v/>
      </c>
      <c r="G379" s="60"/>
      <c r="H379" s="60"/>
      <c r="I379" s="60"/>
      <c r="J379" s="88"/>
      <c r="K379" s="89"/>
      <c r="L379" s="90"/>
      <c r="M379" s="10" t="b">
        <f t="shared" si="15"/>
        <v>0</v>
      </c>
    </row>
    <row r="380" spans="2:13" ht="22.5">
      <c r="B380" s="15">
        <v>368</v>
      </c>
      <c r="C380" s="15"/>
      <c r="D380" s="21" t="str">
        <f t="shared" si="16"/>
        <v/>
      </c>
      <c r="E380" s="60"/>
      <c r="F380" s="110" t="str">
        <f t="shared" si="17"/>
        <v/>
      </c>
      <c r="G380" s="60"/>
      <c r="H380" s="60"/>
      <c r="I380" s="60"/>
      <c r="J380" s="88"/>
      <c r="K380" s="89"/>
      <c r="L380" s="90"/>
      <c r="M380" s="10" t="b">
        <f t="shared" si="15"/>
        <v>0</v>
      </c>
    </row>
    <row r="381" spans="2:13" ht="22.5">
      <c r="B381" s="15">
        <v>369</v>
      </c>
      <c r="C381" s="15"/>
      <c r="D381" s="21" t="str">
        <f t="shared" si="16"/>
        <v/>
      </c>
      <c r="E381" s="60"/>
      <c r="F381" s="110" t="str">
        <f t="shared" si="17"/>
        <v/>
      </c>
      <c r="G381" s="60"/>
      <c r="H381" s="60"/>
      <c r="I381" s="60"/>
      <c r="J381" s="88"/>
      <c r="K381" s="89"/>
      <c r="L381" s="90"/>
      <c r="M381" s="10" t="b">
        <f t="shared" si="15"/>
        <v>0</v>
      </c>
    </row>
    <row r="382" spans="2:13" ht="22.5">
      <c r="B382" s="15">
        <v>370</v>
      </c>
      <c r="C382" s="15"/>
      <c r="D382" s="21" t="str">
        <f t="shared" si="16"/>
        <v/>
      </c>
      <c r="E382" s="60"/>
      <c r="F382" s="110" t="str">
        <f t="shared" si="17"/>
        <v/>
      </c>
      <c r="G382" s="60"/>
      <c r="H382" s="60"/>
      <c r="I382" s="60"/>
      <c r="J382" s="88"/>
      <c r="K382" s="89"/>
      <c r="L382" s="90"/>
      <c r="M382" s="10" t="b">
        <f t="shared" si="15"/>
        <v>0</v>
      </c>
    </row>
    <row r="383" spans="2:13" ht="22.5">
      <c r="B383" s="15">
        <v>371</v>
      </c>
      <c r="C383" s="15"/>
      <c r="D383" s="21" t="str">
        <f t="shared" si="16"/>
        <v/>
      </c>
      <c r="E383" s="60"/>
      <c r="F383" s="110" t="str">
        <f t="shared" si="17"/>
        <v/>
      </c>
      <c r="G383" s="60"/>
      <c r="H383" s="60"/>
      <c r="I383" s="60"/>
      <c r="J383" s="88"/>
      <c r="K383" s="89"/>
      <c r="L383" s="90"/>
      <c r="M383" s="10" t="b">
        <f t="shared" si="15"/>
        <v>0</v>
      </c>
    </row>
    <row r="384" spans="2:13" ht="22.5">
      <c r="B384" s="15">
        <v>372</v>
      </c>
      <c r="C384" s="15"/>
      <c r="D384" s="21" t="str">
        <f t="shared" si="16"/>
        <v/>
      </c>
      <c r="E384" s="60"/>
      <c r="F384" s="110" t="str">
        <f t="shared" si="17"/>
        <v/>
      </c>
      <c r="G384" s="60"/>
      <c r="H384" s="60"/>
      <c r="I384" s="60"/>
      <c r="J384" s="88"/>
      <c r="K384" s="89"/>
      <c r="L384" s="90"/>
      <c r="M384" s="10" t="b">
        <f t="shared" si="15"/>
        <v>0</v>
      </c>
    </row>
    <row r="385" spans="2:13" ht="22.5">
      <c r="B385" s="15">
        <v>373</v>
      </c>
      <c r="C385" s="15"/>
      <c r="D385" s="21" t="str">
        <f t="shared" si="16"/>
        <v/>
      </c>
      <c r="E385" s="60"/>
      <c r="F385" s="110" t="str">
        <f t="shared" si="17"/>
        <v/>
      </c>
      <c r="G385" s="60"/>
      <c r="H385" s="60"/>
      <c r="I385" s="60"/>
      <c r="J385" s="88"/>
      <c r="K385" s="89"/>
      <c r="L385" s="90"/>
      <c r="M385" s="10" t="b">
        <f t="shared" si="15"/>
        <v>0</v>
      </c>
    </row>
    <row r="386" spans="2:13" ht="22.5">
      <c r="B386" s="15">
        <v>374</v>
      </c>
      <c r="C386" s="15"/>
      <c r="D386" s="21" t="str">
        <f t="shared" si="16"/>
        <v/>
      </c>
      <c r="E386" s="60"/>
      <c r="F386" s="110" t="str">
        <f t="shared" si="17"/>
        <v/>
      </c>
      <c r="G386" s="60"/>
      <c r="H386" s="60"/>
      <c r="I386" s="60"/>
      <c r="J386" s="88"/>
      <c r="K386" s="89"/>
      <c r="L386" s="90"/>
      <c r="M386" s="10" t="b">
        <f t="shared" si="15"/>
        <v>0</v>
      </c>
    </row>
    <row r="387" spans="2:13" ht="22.5">
      <c r="B387" s="15">
        <v>375</v>
      </c>
      <c r="C387" s="15"/>
      <c r="D387" s="21" t="str">
        <f t="shared" si="16"/>
        <v/>
      </c>
      <c r="E387" s="60"/>
      <c r="F387" s="110" t="str">
        <f t="shared" si="17"/>
        <v/>
      </c>
      <c r="G387" s="60"/>
      <c r="H387" s="60"/>
      <c r="I387" s="60"/>
      <c r="J387" s="88"/>
      <c r="K387" s="89"/>
      <c r="L387" s="90"/>
      <c r="M387" s="10" t="b">
        <f t="shared" si="15"/>
        <v>0</v>
      </c>
    </row>
    <row r="388" spans="2:13" ht="22.5">
      <c r="B388" s="15">
        <v>376</v>
      </c>
      <c r="C388" s="15"/>
      <c r="D388" s="21" t="str">
        <f t="shared" si="16"/>
        <v/>
      </c>
      <c r="E388" s="60"/>
      <c r="F388" s="110" t="str">
        <f t="shared" si="17"/>
        <v/>
      </c>
      <c r="G388" s="60"/>
      <c r="H388" s="60"/>
      <c r="I388" s="60"/>
      <c r="J388" s="88"/>
      <c r="K388" s="89"/>
      <c r="L388" s="90"/>
      <c r="M388" s="10" t="b">
        <f t="shared" si="15"/>
        <v>0</v>
      </c>
    </row>
    <row r="389" spans="2:13" ht="22.5">
      <c r="B389" s="15">
        <v>377</v>
      </c>
      <c r="C389" s="15"/>
      <c r="D389" s="21" t="str">
        <f t="shared" si="16"/>
        <v/>
      </c>
      <c r="E389" s="60"/>
      <c r="F389" s="110" t="str">
        <f t="shared" si="17"/>
        <v/>
      </c>
      <c r="G389" s="60"/>
      <c r="H389" s="60"/>
      <c r="I389" s="60"/>
      <c r="J389" s="88"/>
      <c r="K389" s="89"/>
      <c r="L389" s="90"/>
      <c r="M389" s="10" t="b">
        <f t="shared" si="15"/>
        <v>0</v>
      </c>
    </row>
    <row r="390" spans="2:13" ht="22.5">
      <c r="B390" s="15">
        <v>378</v>
      </c>
      <c r="C390" s="15"/>
      <c r="D390" s="21" t="str">
        <f t="shared" si="16"/>
        <v/>
      </c>
      <c r="E390" s="60"/>
      <c r="F390" s="110" t="str">
        <f t="shared" si="17"/>
        <v/>
      </c>
      <c r="G390" s="60"/>
      <c r="H390" s="60"/>
      <c r="I390" s="60"/>
      <c r="J390" s="88"/>
      <c r="K390" s="89"/>
      <c r="L390" s="90"/>
      <c r="M390" s="10" t="b">
        <f t="shared" si="15"/>
        <v>0</v>
      </c>
    </row>
    <row r="391" spans="2:13" ht="22.5">
      <c r="B391" s="15">
        <v>379</v>
      </c>
      <c r="C391" s="15"/>
      <c r="D391" s="21" t="str">
        <f t="shared" si="16"/>
        <v/>
      </c>
      <c r="E391" s="60"/>
      <c r="F391" s="110" t="str">
        <f t="shared" si="17"/>
        <v/>
      </c>
      <c r="G391" s="60"/>
      <c r="H391" s="60"/>
      <c r="I391" s="60"/>
      <c r="J391" s="88"/>
      <c r="K391" s="89"/>
      <c r="L391" s="90"/>
      <c r="M391" s="10" t="b">
        <f t="shared" si="15"/>
        <v>0</v>
      </c>
    </row>
    <row r="392" spans="2:13" ht="22.5">
      <c r="B392" s="15">
        <v>380</v>
      </c>
      <c r="C392" s="15"/>
      <c r="D392" s="21" t="str">
        <f t="shared" si="16"/>
        <v/>
      </c>
      <c r="E392" s="60"/>
      <c r="F392" s="110" t="str">
        <f t="shared" si="17"/>
        <v/>
      </c>
      <c r="G392" s="60"/>
      <c r="H392" s="60"/>
      <c r="I392" s="60"/>
      <c r="J392" s="88"/>
      <c r="K392" s="89"/>
      <c r="L392" s="90"/>
      <c r="M392" s="10" t="b">
        <f t="shared" si="15"/>
        <v>0</v>
      </c>
    </row>
    <row r="393" spans="2:13" ht="22.5">
      <c r="B393" s="15">
        <v>381</v>
      </c>
      <c r="C393" s="15"/>
      <c r="D393" s="21" t="str">
        <f t="shared" si="16"/>
        <v/>
      </c>
      <c r="E393" s="60"/>
      <c r="F393" s="110" t="str">
        <f t="shared" si="17"/>
        <v/>
      </c>
      <c r="G393" s="60"/>
      <c r="H393" s="60"/>
      <c r="I393" s="60"/>
      <c r="J393" s="88"/>
      <c r="K393" s="89"/>
      <c r="L393" s="90"/>
      <c r="M393" s="10" t="b">
        <f t="shared" si="15"/>
        <v>0</v>
      </c>
    </row>
    <row r="394" spans="2:13" ht="22.5">
      <c r="B394" s="15">
        <v>382</v>
      </c>
      <c r="C394" s="15"/>
      <c r="D394" s="21" t="str">
        <f t="shared" si="16"/>
        <v/>
      </c>
      <c r="E394" s="60"/>
      <c r="F394" s="110" t="str">
        <f t="shared" si="17"/>
        <v/>
      </c>
      <c r="G394" s="60"/>
      <c r="H394" s="60"/>
      <c r="I394" s="60"/>
      <c r="J394" s="88"/>
      <c r="K394" s="89"/>
      <c r="L394" s="90"/>
      <c r="M394" s="10" t="b">
        <f t="shared" si="15"/>
        <v>0</v>
      </c>
    </row>
    <row r="395" spans="2:13" ht="22.5">
      <c r="B395" s="15">
        <v>383</v>
      </c>
      <c r="C395" s="15"/>
      <c r="D395" s="21" t="str">
        <f t="shared" si="16"/>
        <v/>
      </c>
      <c r="E395" s="60"/>
      <c r="F395" s="110" t="str">
        <f t="shared" si="17"/>
        <v/>
      </c>
      <c r="G395" s="60"/>
      <c r="H395" s="60"/>
      <c r="I395" s="60"/>
      <c r="J395" s="88"/>
      <c r="K395" s="89"/>
      <c r="L395" s="90"/>
      <c r="M395" s="10" t="b">
        <f t="shared" si="15"/>
        <v>0</v>
      </c>
    </row>
    <row r="396" spans="2:13" ht="22.5">
      <c r="B396" s="15">
        <v>384</v>
      </c>
      <c r="C396" s="15"/>
      <c r="D396" s="21" t="str">
        <f t="shared" si="16"/>
        <v/>
      </c>
      <c r="E396" s="60"/>
      <c r="F396" s="110" t="str">
        <f t="shared" si="17"/>
        <v/>
      </c>
      <c r="G396" s="60"/>
      <c r="H396" s="60"/>
      <c r="I396" s="60"/>
      <c r="J396" s="88"/>
      <c r="K396" s="89"/>
      <c r="L396" s="90"/>
      <c r="M396" s="10" t="b">
        <f t="shared" si="15"/>
        <v>0</v>
      </c>
    </row>
    <row r="397" spans="2:13" ht="22.5">
      <c r="B397" s="15">
        <v>385</v>
      </c>
      <c r="C397" s="15"/>
      <c r="D397" s="21" t="str">
        <f t="shared" si="16"/>
        <v/>
      </c>
      <c r="E397" s="60"/>
      <c r="F397" s="110" t="str">
        <f t="shared" si="17"/>
        <v/>
      </c>
      <c r="G397" s="60"/>
      <c r="H397" s="60"/>
      <c r="I397" s="60"/>
      <c r="J397" s="88"/>
      <c r="K397" s="89"/>
      <c r="L397" s="90"/>
      <c r="M397" s="10" t="b">
        <f t="shared" ref="M397:M460" si="18">IF(COUNTA(E397,G397)=0,FALSE,TRUE)</f>
        <v>0</v>
      </c>
    </row>
    <row r="398" spans="2:13" ht="22.5">
      <c r="B398" s="15">
        <v>386</v>
      </c>
      <c r="C398" s="15"/>
      <c r="D398" s="21" t="str">
        <f t="shared" ref="D398:D461" si="19">IF(LEN(E398)=0,"",IF((AND(ISNUMBER(VALUE(E398)),LEN(E398)=12)),3,IF(AND(ISNUMBER(VALUE(E398)),(LEN(E398)=10)),1,IF(AND(OR((LEFT(E398)="R"),(LEFT(E398)="R")),(ISNUMBER(VALUE(RIGHT(E398,9)))),(LEN(E398)=10)),2,FALSE))))</f>
        <v/>
      </c>
      <c r="E398" s="60"/>
      <c r="F398" s="110" t="str">
        <f t="shared" ref="F398:F461" si="20">IF(D398=FALSE,"←ご確認ください",IF(OR(D398=1,D398=2,D398=3),"形式OK",""))</f>
        <v/>
      </c>
      <c r="G398" s="60"/>
      <c r="H398" s="60"/>
      <c r="I398" s="60"/>
      <c r="J398" s="88"/>
      <c r="K398" s="89"/>
      <c r="L398" s="90"/>
      <c r="M398" s="10" t="b">
        <f t="shared" si="18"/>
        <v>0</v>
      </c>
    </row>
    <row r="399" spans="2:13" ht="22.5">
      <c r="B399" s="15">
        <v>387</v>
      </c>
      <c r="C399" s="15"/>
      <c r="D399" s="21" t="str">
        <f t="shared" si="19"/>
        <v/>
      </c>
      <c r="E399" s="60"/>
      <c r="F399" s="110" t="str">
        <f t="shared" si="20"/>
        <v/>
      </c>
      <c r="G399" s="60"/>
      <c r="H399" s="60"/>
      <c r="I399" s="60"/>
      <c r="J399" s="88"/>
      <c r="K399" s="89"/>
      <c r="L399" s="90"/>
      <c r="M399" s="10" t="b">
        <f t="shared" si="18"/>
        <v>0</v>
      </c>
    </row>
    <row r="400" spans="2:13" ht="22.5">
      <c r="B400" s="15">
        <v>388</v>
      </c>
      <c r="C400" s="15"/>
      <c r="D400" s="21" t="str">
        <f t="shared" si="19"/>
        <v/>
      </c>
      <c r="E400" s="60"/>
      <c r="F400" s="110" t="str">
        <f t="shared" si="20"/>
        <v/>
      </c>
      <c r="G400" s="60"/>
      <c r="H400" s="60"/>
      <c r="I400" s="60"/>
      <c r="J400" s="88"/>
      <c r="K400" s="89"/>
      <c r="L400" s="90"/>
      <c r="M400" s="10" t="b">
        <f t="shared" si="18"/>
        <v>0</v>
      </c>
    </row>
    <row r="401" spans="2:13" ht="22.5">
      <c r="B401" s="15">
        <v>389</v>
      </c>
      <c r="C401" s="15"/>
      <c r="D401" s="21" t="str">
        <f t="shared" si="19"/>
        <v/>
      </c>
      <c r="E401" s="60"/>
      <c r="F401" s="110" t="str">
        <f t="shared" si="20"/>
        <v/>
      </c>
      <c r="G401" s="60"/>
      <c r="H401" s="60"/>
      <c r="I401" s="60"/>
      <c r="J401" s="88"/>
      <c r="K401" s="89"/>
      <c r="L401" s="90"/>
      <c r="M401" s="10" t="b">
        <f t="shared" si="18"/>
        <v>0</v>
      </c>
    </row>
    <row r="402" spans="2:13" ht="22.5">
      <c r="B402" s="15">
        <v>390</v>
      </c>
      <c r="C402" s="15"/>
      <c r="D402" s="21" t="str">
        <f t="shared" si="19"/>
        <v/>
      </c>
      <c r="E402" s="60"/>
      <c r="F402" s="110" t="str">
        <f t="shared" si="20"/>
        <v/>
      </c>
      <c r="G402" s="60"/>
      <c r="H402" s="60"/>
      <c r="I402" s="60"/>
      <c r="J402" s="88"/>
      <c r="K402" s="89"/>
      <c r="L402" s="90"/>
      <c r="M402" s="10" t="b">
        <f t="shared" si="18"/>
        <v>0</v>
      </c>
    </row>
    <row r="403" spans="2:13" ht="22.5">
      <c r="B403" s="15">
        <v>391</v>
      </c>
      <c r="C403" s="15"/>
      <c r="D403" s="21" t="str">
        <f t="shared" si="19"/>
        <v/>
      </c>
      <c r="E403" s="60"/>
      <c r="F403" s="110" t="str">
        <f t="shared" si="20"/>
        <v/>
      </c>
      <c r="G403" s="60"/>
      <c r="H403" s="60"/>
      <c r="I403" s="60"/>
      <c r="J403" s="88"/>
      <c r="K403" s="89"/>
      <c r="L403" s="90"/>
      <c r="M403" s="10" t="b">
        <f t="shared" si="18"/>
        <v>0</v>
      </c>
    </row>
    <row r="404" spans="2:13" ht="22.5">
      <c r="B404" s="15">
        <v>392</v>
      </c>
      <c r="C404" s="15"/>
      <c r="D404" s="21" t="str">
        <f t="shared" si="19"/>
        <v/>
      </c>
      <c r="E404" s="60"/>
      <c r="F404" s="110" t="str">
        <f t="shared" si="20"/>
        <v/>
      </c>
      <c r="G404" s="60"/>
      <c r="H404" s="60"/>
      <c r="I404" s="60"/>
      <c r="J404" s="88"/>
      <c r="K404" s="89"/>
      <c r="L404" s="90"/>
      <c r="M404" s="10" t="b">
        <f t="shared" si="18"/>
        <v>0</v>
      </c>
    </row>
    <row r="405" spans="2:13" ht="22.5">
      <c r="B405" s="15">
        <v>393</v>
      </c>
      <c r="C405" s="15"/>
      <c r="D405" s="21" t="str">
        <f t="shared" si="19"/>
        <v/>
      </c>
      <c r="E405" s="60"/>
      <c r="F405" s="110" t="str">
        <f t="shared" si="20"/>
        <v/>
      </c>
      <c r="G405" s="60"/>
      <c r="H405" s="60"/>
      <c r="I405" s="60"/>
      <c r="J405" s="88"/>
      <c r="K405" s="89"/>
      <c r="L405" s="90"/>
      <c r="M405" s="10" t="b">
        <f t="shared" si="18"/>
        <v>0</v>
      </c>
    </row>
    <row r="406" spans="2:13" ht="22.5">
      <c r="B406" s="15">
        <v>394</v>
      </c>
      <c r="C406" s="15"/>
      <c r="D406" s="21" t="str">
        <f t="shared" si="19"/>
        <v/>
      </c>
      <c r="E406" s="60"/>
      <c r="F406" s="110" t="str">
        <f t="shared" si="20"/>
        <v/>
      </c>
      <c r="G406" s="60"/>
      <c r="H406" s="60"/>
      <c r="I406" s="60"/>
      <c r="J406" s="88"/>
      <c r="K406" s="89"/>
      <c r="L406" s="90"/>
      <c r="M406" s="10" t="b">
        <f t="shared" si="18"/>
        <v>0</v>
      </c>
    </row>
    <row r="407" spans="2:13" ht="22.5">
      <c r="B407" s="15">
        <v>395</v>
      </c>
      <c r="C407" s="15"/>
      <c r="D407" s="21" t="str">
        <f t="shared" si="19"/>
        <v/>
      </c>
      <c r="E407" s="60"/>
      <c r="F407" s="110" t="str">
        <f t="shared" si="20"/>
        <v/>
      </c>
      <c r="G407" s="60"/>
      <c r="H407" s="60"/>
      <c r="I407" s="60"/>
      <c r="J407" s="88"/>
      <c r="K407" s="89"/>
      <c r="L407" s="90"/>
      <c r="M407" s="10" t="b">
        <f t="shared" si="18"/>
        <v>0</v>
      </c>
    </row>
    <row r="408" spans="2:13" ht="22.5">
      <c r="B408" s="15">
        <v>396</v>
      </c>
      <c r="C408" s="15"/>
      <c r="D408" s="21" t="str">
        <f t="shared" si="19"/>
        <v/>
      </c>
      <c r="E408" s="60"/>
      <c r="F408" s="110" t="str">
        <f t="shared" si="20"/>
        <v/>
      </c>
      <c r="G408" s="60"/>
      <c r="H408" s="60"/>
      <c r="I408" s="60"/>
      <c r="J408" s="88"/>
      <c r="K408" s="89"/>
      <c r="L408" s="90"/>
      <c r="M408" s="10" t="b">
        <f t="shared" si="18"/>
        <v>0</v>
      </c>
    </row>
    <row r="409" spans="2:13" ht="22.5">
      <c r="B409" s="15">
        <v>397</v>
      </c>
      <c r="C409" s="15"/>
      <c r="D409" s="21" t="str">
        <f t="shared" si="19"/>
        <v/>
      </c>
      <c r="E409" s="60"/>
      <c r="F409" s="110" t="str">
        <f t="shared" si="20"/>
        <v/>
      </c>
      <c r="G409" s="60"/>
      <c r="H409" s="60"/>
      <c r="I409" s="60"/>
      <c r="J409" s="88"/>
      <c r="K409" s="89"/>
      <c r="L409" s="90"/>
      <c r="M409" s="10" t="b">
        <f t="shared" si="18"/>
        <v>0</v>
      </c>
    </row>
    <row r="410" spans="2:13" ht="22.5">
      <c r="B410" s="15">
        <v>398</v>
      </c>
      <c r="C410" s="15"/>
      <c r="D410" s="21" t="str">
        <f t="shared" si="19"/>
        <v/>
      </c>
      <c r="E410" s="60"/>
      <c r="F410" s="110" t="str">
        <f t="shared" si="20"/>
        <v/>
      </c>
      <c r="G410" s="60"/>
      <c r="H410" s="60"/>
      <c r="I410" s="60"/>
      <c r="J410" s="88"/>
      <c r="K410" s="89"/>
      <c r="L410" s="90"/>
      <c r="M410" s="10" t="b">
        <f t="shared" si="18"/>
        <v>0</v>
      </c>
    </row>
    <row r="411" spans="2:13" ht="22.5">
      <c r="B411" s="15">
        <v>399</v>
      </c>
      <c r="C411" s="15"/>
      <c r="D411" s="21" t="str">
        <f t="shared" si="19"/>
        <v/>
      </c>
      <c r="E411" s="60"/>
      <c r="F411" s="110" t="str">
        <f t="shared" si="20"/>
        <v/>
      </c>
      <c r="G411" s="60"/>
      <c r="H411" s="60"/>
      <c r="I411" s="60"/>
      <c r="J411" s="88"/>
      <c r="K411" s="89"/>
      <c r="L411" s="90"/>
      <c r="M411" s="10" t="b">
        <f t="shared" si="18"/>
        <v>0</v>
      </c>
    </row>
    <row r="412" spans="2:13" ht="22.5">
      <c r="B412" s="15">
        <v>400</v>
      </c>
      <c r="C412" s="15"/>
      <c r="D412" s="21" t="str">
        <f t="shared" si="19"/>
        <v/>
      </c>
      <c r="E412" s="60"/>
      <c r="F412" s="110" t="str">
        <f t="shared" si="20"/>
        <v/>
      </c>
      <c r="G412" s="60"/>
      <c r="H412" s="60"/>
      <c r="I412" s="60"/>
      <c r="J412" s="88"/>
      <c r="K412" s="89"/>
      <c r="L412" s="90"/>
      <c r="M412" s="10" t="b">
        <f t="shared" si="18"/>
        <v>0</v>
      </c>
    </row>
    <row r="413" spans="2:13" ht="22.5">
      <c r="B413" s="15">
        <v>401</v>
      </c>
      <c r="C413" s="15"/>
      <c r="D413" s="21" t="str">
        <f t="shared" si="19"/>
        <v/>
      </c>
      <c r="E413" s="60"/>
      <c r="F413" s="110" t="str">
        <f t="shared" si="20"/>
        <v/>
      </c>
      <c r="G413" s="60"/>
      <c r="H413" s="60"/>
      <c r="I413" s="60"/>
      <c r="J413" s="88"/>
      <c r="K413" s="89"/>
      <c r="L413" s="90"/>
      <c r="M413" s="10" t="b">
        <f t="shared" si="18"/>
        <v>0</v>
      </c>
    </row>
    <row r="414" spans="2:13" ht="22.5">
      <c r="B414" s="15">
        <v>402</v>
      </c>
      <c r="C414" s="15"/>
      <c r="D414" s="21" t="str">
        <f t="shared" si="19"/>
        <v/>
      </c>
      <c r="E414" s="60"/>
      <c r="F414" s="110" t="str">
        <f t="shared" si="20"/>
        <v/>
      </c>
      <c r="G414" s="60"/>
      <c r="H414" s="60"/>
      <c r="I414" s="60"/>
      <c r="J414" s="88"/>
      <c r="K414" s="89"/>
      <c r="L414" s="90"/>
      <c r="M414" s="10" t="b">
        <f t="shared" si="18"/>
        <v>0</v>
      </c>
    </row>
    <row r="415" spans="2:13" ht="22.5">
      <c r="B415" s="15">
        <v>403</v>
      </c>
      <c r="C415" s="15"/>
      <c r="D415" s="21" t="str">
        <f t="shared" si="19"/>
        <v/>
      </c>
      <c r="E415" s="60"/>
      <c r="F415" s="110" t="str">
        <f t="shared" si="20"/>
        <v/>
      </c>
      <c r="G415" s="60"/>
      <c r="H415" s="60"/>
      <c r="I415" s="60"/>
      <c r="J415" s="88"/>
      <c r="K415" s="89"/>
      <c r="L415" s="90"/>
      <c r="M415" s="10" t="b">
        <f t="shared" si="18"/>
        <v>0</v>
      </c>
    </row>
    <row r="416" spans="2:13" ht="22.5">
      <c r="B416" s="15">
        <v>404</v>
      </c>
      <c r="C416" s="15"/>
      <c r="D416" s="21" t="str">
        <f t="shared" si="19"/>
        <v/>
      </c>
      <c r="E416" s="60"/>
      <c r="F416" s="110" t="str">
        <f t="shared" si="20"/>
        <v/>
      </c>
      <c r="G416" s="60"/>
      <c r="H416" s="60"/>
      <c r="I416" s="60"/>
      <c r="J416" s="88"/>
      <c r="K416" s="89"/>
      <c r="L416" s="90"/>
      <c r="M416" s="10" t="b">
        <f t="shared" si="18"/>
        <v>0</v>
      </c>
    </row>
    <row r="417" spans="2:13" ht="22.5">
      <c r="B417" s="15">
        <v>405</v>
      </c>
      <c r="C417" s="15"/>
      <c r="D417" s="21" t="str">
        <f t="shared" si="19"/>
        <v/>
      </c>
      <c r="E417" s="60"/>
      <c r="F417" s="110" t="str">
        <f t="shared" si="20"/>
        <v/>
      </c>
      <c r="G417" s="60"/>
      <c r="H417" s="60"/>
      <c r="I417" s="60"/>
      <c r="J417" s="88"/>
      <c r="K417" s="89"/>
      <c r="L417" s="90"/>
      <c r="M417" s="10" t="b">
        <f t="shared" si="18"/>
        <v>0</v>
      </c>
    </row>
    <row r="418" spans="2:13" ht="22.5">
      <c r="B418" s="15">
        <v>406</v>
      </c>
      <c r="C418" s="15"/>
      <c r="D418" s="21" t="str">
        <f t="shared" si="19"/>
        <v/>
      </c>
      <c r="E418" s="60"/>
      <c r="F418" s="110" t="str">
        <f t="shared" si="20"/>
        <v/>
      </c>
      <c r="G418" s="60"/>
      <c r="H418" s="60"/>
      <c r="I418" s="60"/>
      <c r="J418" s="88"/>
      <c r="K418" s="89"/>
      <c r="L418" s="90"/>
      <c r="M418" s="10" t="b">
        <f t="shared" si="18"/>
        <v>0</v>
      </c>
    </row>
    <row r="419" spans="2:13" ht="22.5">
      <c r="B419" s="15">
        <v>407</v>
      </c>
      <c r="C419" s="15"/>
      <c r="D419" s="21" t="str">
        <f t="shared" si="19"/>
        <v/>
      </c>
      <c r="E419" s="60"/>
      <c r="F419" s="110" t="str">
        <f t="shared" si="20"/>
        <v/>
      </c>
      <c r="G419" s="60"/>
      <c r="H419" s="60"/>
      <c r="I419" s="60"/>
      <c r="J419" s="88"/>
      <c r="K419" s="89"/>
      <c r="L419" s="90"/>
      <c r="M419" s="10" t="b">
        <f t="shared" si="18"/>
        <v>0</v>
      </c>
    </row>
    <row r="420" spans="2:13" ht="22.5">
      <c r="B420" s="15">
        <v>408</v>
      </c>
      <c r="C420" s="15"/>
      <c r="D420" s="21" t="str">
        <f t="shared" si="19"/>
        <v/>
      </c>
      <c r="E420" s="60"/>
      <c r="F420" s="110" t="str">
        <f t="shared" si="20"/>
        <v/>
      </c>
      <c r="G420" s="60"/>
      <c r="H420" s="60"/>
      <c r="I420" s="60"/>
      <c r="J420" s="88"/>
      <c r="K420" s="89"/>
      <c r="L420" s="90"/>
      <c r="M420" s="10" t="b">
        <f t="shared" si="18"/>
        <v>0</v>
      </c>
    </row>
    <row r="421" spans="2:13" ht="22.5">
      <c r="B421" s="15">
        <v>409</v>
      </c>
      <c r="C421" s="15"/>
      <c r="D421" s="21" t="str">
        <f t="shared" si="19"/>
        <v/>
      </c>
      <c r="E421" s="60"/>
      <c r="F421" s="110" t="str">
        <f t="shared" si="20"/>
        <v/>
      </c>
      <c r="G421" s="60"/>
      <c r="H421" s="60"/>
      <c r="I421" s="60"/>
      <c r="J421" s="88"/>
      <c r="K421" s="89"/>
      <c r="L421" s="90"/>
      <c r="M421" s="10" t="b">
        <f t="shared" si="18"/>
        <v>0</v>
      </c>
    </row>
    <row r="422" spans="2:13" ht="22.5">
      <c r="B422" s="15">
        <v>410</v>
      </c>
      <c r="C422" s="15"/>
      <c r="D422" s="21" t="str">
        <f t="shared" si="19"/>
        <v/>
      </c>
      <c r="E422" s="60"/>
      <c r="F422" s="110" t="str">
        <f t="shared" si="20"/>
        <v/>
      </c>
      <c r="G422" s="60"/>
      <c r="H422" s="60"/>
      <c r="I422" s="60"/>
      <c r="J422" s="88"/>
      <c r="K422" s="89"/>
      <c r="L422" s="90"/>
      <c r="M422" s="10" t="b">
        <f t="shared" si="18"/>
        <v>0</v>
      </c>
    </row>
    <row r="423" spans="2:13" ht="22.5">
      <c r="B423" s="15">
        <v>411</v>
      </c>
      <c r="C423" s="15"/>
      <c r="D423" s="21" t="str">
        <f t="shared" si="19"/>
        <v/>
      </c>
      <c r="E423" s="60"/>
      <c r="F423" s="110" t="str">
        <f t="shared" si="20"/>
        <v/>
      </c>
      <c r="G423" s="60"/>
      <c r="H423" s="60"/>
      <c r="I423" s="60"/>
      <c r="J423" s="88"/>
      <c r="K423" s="89"/>
      <c r="L423" s="90"/>
      <c r="M423" s="10" t="b">
        <f t="shared" si="18"/>
        <v>0</v>
      </c>
    </row>
    <row r="424" spans="2:13" ht="22.5">
      <c r="B424" s="15">
        <v>412</v>
      </c>
      <c r="C424" s="15"/>
      <c r="D424" s="21" t="str">
        <f t="shared" si="19"/>
        <v/>
      </c>
      <c r="E424" s="60"/>
      <c r="F424" s="110" t="str">
        <f t="shared" si="20"/>
        <v/>
      </c>
      <c r="G424" s="60"/>
      <c r="H424" s="60"/>
      <c r="I424" s="60"/>
      <c r="J424" s="88"/>
      <c r="K424" s="89"/>
      <c r="L424" s="90"/>
      <c r="M424" s="10" t="b">
        <f t="shared" si="18"/>
        <v>0</v>
      </c>
    </row>
    <row r="425" spans="2:13" ht="22.5">
      <c r="B425" s="15">
        <v>413</v>
      </c>
      <c r="C425" s="15"/>
      <c r="D425" s="21" t="str">
        <f t="shared" si="19"/>
        <v/>
      </c>
      <c r="E425" s="60"/>
      <c r="F425" s="110" t="str">
        <f t="shared" si="20"/>
        <v/>
      </c>
      <c r="G425" s="60"/>
      <c r="H425" s="60"/>
      <c r="I425" s="60"/>
      <c r="J425" s="88"/>
      <c r="K425" s="89"/>
      <c r="L425" s="90"/>
      <c r="M425" s="10" t="b">
        <f t="shared" si="18"/>
        <v>0</v>
      </c>
    </row>
    <row r="426" spans="2:13" ht="22.5">
      <c r="B426" s="15">
        <v>414</v>
      </c>
      <c r="C426" s="15"/>
      <c r="D426" s="21" t="str">
        <f t="shared" si="19"/>
        <v/>
      </c>
      <c r="E426" s="60"/>
      <c r="F426" s="110" t="str">
        <f t="shared" si="20"/>
        <v/>
      </c>
      <c r="G426" s="60"/>
      <c r="H426" s="60"/>
      <c r="I426" s="60"/>
      <c r="J426" s="88"/>
      <c r="K426" s="89"/>
      <c r="L426" s="90"/>
      <c r="M426" s="10" t="b">
        <f t="shared" si="18"/>
        <v>0</v>
      </c>
    </row>
    <row r="427" spans="2:13" ht="22.5">
      <c r="B427" s="15">
        <v>415</v>
      </c>
      <c r="C427" s="15"/>
      <c r="D427" s="21" t="str">
        <f t="shared" si="19"/>
        <v/>
      </c>
      <c r="E427" s="60"/>
      <c r="F427" s="110" t="str">
        <f t="shared" si="20"/>
        <v/>
      </c>
      <c r="G427" s="60"/>
      <c r="H427" s="60"/>
      <c r="I427" s="60"/>
      <c r="J427" s="88"/>
      <c r="K427" s="89"/>
      <c r="L427" s="90"/>
      <c r="M427" s="10" t="b">
        <f t="shared" si="18"/>
        <v>0</v>
      </c>
    </row>
    <row r="428" spans="2:13" ht="22.5">
      <c r="B428" s="15">
        <v>416</v>
      </c>
      <c r="C428" s="15"/>
      <c r="D428" s="21" t="str">
        <f t="shared" si="19"/>
        <v/>
      </c>
      <c r="E428" s="60"/>
      <c r="F428" s="110" t="str">
        <f t="shared" si="20"/>
        <v/>
      </c>
      <c r="G428" s="60"/>
      <c r="H428" s="60"/>
      <c r="I428" s="60"/>
      <c r="J428" s="88"/>
      <c r="K428" s="89"/>
      <c r="L428" s="90"/>
      <c r="M428" s="10" t="b">
        <f t="shared" si="18"/>
        <v>0</v>
      </c>
    </row>
    <row r="429" spans="2:13" ht="22.5">
      <c r="B429" s="15">
        <v>417</v>
      </c>
      <c r="C429" s="15"/>
      <c r="D429" s="21" t="str">
        <f t="shared" si="19"/>
        <v/>
      </c>
      <c r="E429" s="60"/>
      <c r="F429" s="110" t="str">
        <f t="shared" si="20"/>
        <v/>
      </c>
      <c r="G429" s="60"/>
      <c r="H429" s="60"/>
      <c r="I429" s="60"/>
      <c r="J429" s="88"/>
      <c r="K429" s="89"/>
      <c r="L429" s="90"/>
      <c r="M429" s="10" t="b">
        <f t="shared" si="18"/>
        <v>0</v>
      </c>
    </row>
    <row r="430" spans="2:13" ht="22.5">
      <c r="B430" s="15">
        <v>418</v>
      </c>
      <c r="C430" s="15"/>
      <c r="D430" s="21" t="str">
        <f t="shared" si="19"/>
        <v/>
      </c>
      <c r="E430" s="60"/>
      <c r="F430" s="110" t="str">
        <f t="shared" si="20"/>
        <v/>
      </c>
      <c r="G430" s="60"/>
      <c r="H430" s="60"/>
      <c r="I430" s="60"/>
      <c r="J430" s="88"/>
      <c r="K430" s="89"/>
      <c r="L430" s="90"/>
      <c r="M430" s="10" t="b">
        <f t="shared" si="18"/>
        <v>0</v>
      </c>
    </row>
    <row r="431" spans="2:13" ht="22.5">
      <c r="B431" s="15">
        <v>419</v>
      </c>
      <c r="C431" s="15"/>
      <c r="D431" s="21" t="str">
        <f t="shared" si="19"/>
        <v/>
      </c>
      <c r="E431" s="60"/>
      <c r="F431" s="110" t="str">
        <f t="shared" si="20"/>
        <v/>
      </c>
      <c r="G431" s="60"/>
      <c r="H431" s="60"/>
      <c r="I431" s="60"/>
      <c r="J431" s="88"/>
      <c r="K431" s="89"/>
      <c r="L431" s="90"/>
      <c r="M431" s="10" t="b">
        <f t="shared" si="18"/>
        <v>0</v>
      </c>
    </row>
    <row r="432" spans="2:13" ht="22.5">
      <c r="B432" s="15">
        <v>420</v>
      </c>
      <c r="C432" s="15"/>
      <c r="D432" s="21" t="str">
        <f t="shared" si="19"/>
        <v/>
      </c>
      <c r="E432" s="60"/>
      <c r="F432" s="110" t="str">
        <f t="shared" si="20"/>
        <v/>
      </c>
      <c r="G432" s="60"/>
      <c r="H432" s="60"/>
      <c r="I432" s="60"/>
      <c r="J432" s="88"/>
      <c r="K432" s="89"/>
      <c r="L432" s="90"/>
      <c r="M432" s="10" t="b">
        <f t="shared" si="18"/>
        <v>0</v>
      </c>
    </row>
    <row r="433" spans="2:13" ht="22.5">
      <c r="B433" s="15">
        <v>421</v>
      </c>
      <c r="C433" s="15"/>
      <c r="D433" s="21" t="str">
        <f t="shared" si="19"/>
        <v/>
      </c>
      <c r="E433" s="60"/>
      <c r="F433" s="110" t="str">
        <f t="shared" si="20"/>
        <v/>
      </c>
      <c r="G433" s="60"/>
      <c r="H433" s="60"/>
      <c r="I433" s="60"/>
      <c r="J433" s="88"/>
      <c r="K433" s="89"/>
      <c r="L433" s="90"/>
      <c r="M433" s="10" t="b">
        <f t="shared" si="18"/>
        <v>0</v>
      </c>
    </row>
    <row r="434" spans="2:13" ht="22.5">
      <c r="B434" s="15">
        <v>422</v>
      </c>
      <c r="C434" s="15"/>
      <c r="D434" s="21" t="str">
        <f t="shared" si="19"/>
        <v/>
      </c>
      <c r="E434" s="60"/>
      <c r="F434" s="110" t="str">
        <f t="shared" si="20"/>
        <v/>
      </c>
      <c r="G434" s="60"/>
      <c r="H434" s="60"/>
      <c r="I434" s="60"/>
      <c r="J434" s="88"/>
      <c r="K434" s="89"/>
      <c r="L434" s="90"/>
      <c r="M434" s="10" t="b">
        <f t="shared" si="18"/>
        <v>0</v>
      </c>
    </row>
    <row r="435" spans="2:13" ht="22.5">
      <c r="B435" s="15">
        <v>423</v>
      </c>
      <c r="C435" s="15"/>
      <c r="D435" s="21" t="str">
        <f t="shared" si="19"/>
        <v/>
      </c>
      <c r="E435" s="60"/>
      <c r="F435" s="110" t="str">
        <f t="shared" si="20"/>
        <v/>
      </c>
      <c r="G435" s="60"/>
      <c r="H435" s="60"/>
      <c r="I435" s="60"/>
      <c r="J435" s="88"/>
      <c r="K435" s="89"/>
      <c r="L435" s="90"/>
      <c r="M435" s="10" t="b">
        <f t="shared" si="18"/>
        <v>0</v>
      </c>
    </row>
    <row r="436" spans="2:13" ht="22.5">
      <c r="B436" s="15">
        <v>424</v>
      </c>
      <c r="C436" s="15"/>
      <c r="D436" s="21" t="str">
        <f t="shared" si="19"/>
        <v/>
      </c>
      <c r="E436" s="60"/>
      <c r="F436" s="110" t="str">
        <f t="shared" si="20"/>
        <v/>
      </c>
      <c r="G436" s="60"/>
      <c r="H436" s="60"/>
      <c r="I436" s="60"/>
      <c r="J436" s="88"/>
      <c r="K436" s="89"/>
      <c r="L436" s="90"/>
      <c r="M436" s="10" t="b">
        <f t="shared" si="18"/>
        <v>0</v>
      </c>
    </row>
    <row r="437" spans="2:13" ht="22.5">
      <c r="B437" s="15">
        <v>425</v>
      </c>
      <c r="C437" s="15"/>
      <c r="D437" s="21" t="str">
        <f t="shared" si="19"/>
        <v/>
      </c>
      <c r="E437" s="60"/>
      <c r="F437" s="110" t="str">
        <f t="shared" si="20"/>
        <v/>
      </c>
      <c r="G437" s="60"/>
      <c r="H437" s="60"/>
      <c r="I437" s="60"/>
      <c r="J437" s="88"/>
      <c r="K437" s="89"/>
      <c r="L437" s="90"/>
      <c r="M437" s="10" t="b">
        <f t="shared" si="18"/>
        <v>0</v>
      </c>
    </row>
    <row r="438" spans="2:13" ht="22.5">
      <c r="B438" s="15">
        <v>426</v>
      </c>
      <c r="C438" s="15"/>
      <c r="D438" s="21" t="str">
        <f t="shared" si="19"/>
        <v/>
      </c>
      <c r="E438" s="60"/>
      <c r="F438" s="110" t="str">
        <f t="shared" si="20"/>
        <v/>
      </c>
      <c r="G438" s="60"/>
      <c r="H438" s="60"/>
      <c r="I438" s="60"/>
      <c r="J438" s="88"/>
      <c r="K438" s="89"/>
      <c r="L438" s="90"/>
      <c r="M438" s="10" t="b">
        <f t="shared" si="18"/>
        <v>0</v>
      </c>
    </row>
    <row r="439" spans="2:13" ht="22.5">
      <c r="B439" s="15">
        <v>427</v>
      </c>
      <c r="C439" s="15"/>
      <c r="D439" s="21" t="str">
        <f t="shared" si="19"/>
        <v/>
      </c>
      <c r="E439" s="60"/>
      <c r="F439" s="110" t="str">
        <f t="shared" si="20"/>
        <v/>
      </c>
      <c r="G439" s="60"/>
      <c r="H439" s="60"/>
      <c r="I439" s="60"/>
      <c r="J439" s="88"/>
      <c r="K439" s="89"/>
      <c r="L439" s="90"/>
      <c r="M439" s="10" t="b">
        <f t="shared" si="18"/>
        <v>0</v>
      </c>
    </row>
    <row r="440" spans="2:13" ht="22.5">
      <c r="B440" s="15">
        <v>428</v>
      </c>
      <c r="C440" s="15"/>
      <c r="D440" s="21" t="str">
        <f t="shared" si="19"/>
        <v/>
      </c>
      <c r="E440" s="60"/>
      <c r="F440" s="110" t="str">
        <f t="shared" si="20"/>
        <v/>
      </c>
      <c r="G440" s="60"/>
      <c r="H440" s="60"/>
      <c r="I440" s="60"/>
      <c r="J440" s="88"/>
      <c r="K440" s="89"/>
      <c r="L440" s="90"/>
      <c r="M440" s="10" t="b">
        <f t="shared" si="18"/>
        <v>0</v>
      </c>
    </row>
    <row r="441" spans="2:13" ht="22.5">
      <c r="B441" s="15">
        <v>429</v>
      </c>
      <c r="C441" s="15"/>
      <c r="D441" s="21" t="str">
        <f t="shared" si="19"/>
        <v/>
      </c>
      <c r="E441" s="60"/>
      <c r="F441" s="110" t="str">
        <f t="shared" si="20"/>
        <v/>
      </c>
      <c r="G441" s="60"/>
      <c r="H441" s="60"/>
      <c r="I441" s="60"/>
      <c r="J441" s="88"/>
      <c r="K441" s="89"/>
      <c r="L441" s="90"/>
      <c r="M441" s="10" t="b">
        <f t="shared" si="18"/>
        <v>0</v>
      </c>
    </row>
    <row r="442" spans="2:13" ht="22.5">
      <c r="B442" s="15">
        <v>430</v>
      </c>
      <c r="C442" s="15"/>
      <c r="D442" s="21" t="str">
        <f t="shared" si="19"/>
        <v/>
      </c>
      <c r="E442" s="60"/>
      <c r="F442" s="110" t="str">
        <f t="shared" si="20"/>
        <v/>
      </c>
      <c r="G442" s="60"/>
      <c r="H442" s="60"/>
      <c r="I442" s="60"/>
      <c r="J442" s="88"/>
      <c r="K442" s="89"/>
      <c r="L442" s="90"/>
      <c r="M442" s="10" t="b">
        <f t="shared" si="18"/>
        <v>0</v>
      </c>
    </row>
    <row r="443" spans="2:13" ht="22.5">
      <c r="B443" s="15">
        <v>431</v>
      </c>
      <c r="C443" s="15"/>
      <c r="D443" s="21" t="str">
        <f t="shared" si="19"/>
        <v/>
      </c>
      <c r="E443" s="60"/>
      <c r="F443" s="110" t="str">
        <f t="shared" si="20"/>
        <v/>
      </c>
      <c r="G443" s="60"/>
      <c r="H443" s="60"/>
      <c r="I443" s="60"/>
      <c r="J443" s="88"/>
      <c r="K443" s="89"/>
      <c r="L443" s="90"/>
      <c r="M443" s="10" t="b">
        <f t="shared" si="18"/>
        <v>0</v>
      </c>
    </row>
    <row r="444" spans="2:13" ht="22.5">
      <c r="B444" s="15">
        <v>432</v>
      </c>
      <c r="C444" s="15"/>
      <c r="D444" s="21" t="str">
        <f t="shared" si="19"/>
        <v/>
      </c>
      <c r="E444" s="60"/>
      <c r="F444" s="110" t="str">
        <f t="shared" si="20"/>
        <v/>
      </c>
      <c r="G444" s="60"/>
      <c r="H444" s="60"/>
      <c r="I444" s="60"/>
      <c r="J444" s="88"/>
      <c r="K444" s="89"/>
      <c r="L444" s="90"/>
      <c r="M444" s="10" t="b">
        <f t="shared" si="18"/>
        <v>0</v>
      </c>
    </row>
    <row r="445" spans="2:13" ht="22.5">
      <c r="B445" s="15">
        <v>433</v>
      </c>
      <c r="C445" s="15"/>
      <c r="D445" s="21" t="str">
        <f t="shared" si="19"/>
        <v/>
      </c>
      <c r="E445" s="60"/>
      <c r="F445" s="110" t="str">
        <f t="shared" si="20"/>
        <v/>
      </c>
      <c r="G445" s="60"/>
      <c r="H445" s="60"/>
      <c r="I445" s="60"/>
      <c r="J445" s="88"/>
      <c r="K445" s="89"/>
      <c r="L445" s="90"/>
      <c r="M445" s="10" t="b">
        <f t="shared" si="18"/>
        <v>0</v>
      </c>
    </row>
    <row r="446" spans="2:13" ht="22.5">
      <c r="B446" s="15">
        <v>434</v>
      </c>
      <c r="C446" s="15"/>
      <c r="D446" s="21" t="str">
        <f t="shared" si="19"/>
        <v/>
      </c>
      <c r="E446" s="60"/>
      <c r="F446" s="110" t="str">
        <f t="shared" si="20"/>
        <v/>
      </c>
      <c r="G446" s="60"/>
      <c r="H446" s="60"/>
      <c r="I446" s="60"/>
      <c r="J446" s="88"/>
      <c r="K446" s="89"/>
      <c r="L446" s="90"/>
      <c r="M446" s="10" t="b">
        <f t="shared" si="18"/>
        <v>0</v>
      </c>
    </row>
    <row r="447" spans="2:13" ht="22.5">
      <c r="B447" s="15">
        <v>435</v>
      </c>
      <c r="C447" s="15"/>
      <c r="D447" s="21" t="str">
        <f t="shared" si="19"/>
        <v/>
      </c>
      <c r="E447" s="60"/>
      <c r="F447" s="110" t="str">
        <f t="shared" si="20"/>
        <v/>
      </c>
      <c r="G447" s="60"/>
      <c r="H447" s="60"/>
      <c r="I447" s="60"/>
      <c r="J447" s="88"/>
      <c r="K447" s="89"/>
      <c r="L447" s="90"/>
      <c r="M447" s="10" t="b">
        <f t="shared" si="18"/>
        <v>0</v>
      </c>
    </row>
    <row r="448" spans="2:13" ht="22.5">
      <c r="B448" s="15">
        <v>436</v>
      </c>
      <c r="C448" s="15"/>
      <c r="D448" s="21" t="str">
        <f t="shared" si="19"/>
        <v/>
      </c>
      <c r="E448" s="60"/>
      <c r="F448" s="110" t="str">
        <f t="shared" si="20"/>
        <v/>
      </c>
      <c r="G448" s="60"/>
      <c r="H448" s="60"/>
      <c r="I448" s="60"/>
      <c r="J448" s="88"/>
      <c r="K448" s="89"/>
      <c r="L448" s="90"/>
      <c r="M448" s="10" t="b">
        <f t="shared" si="18"/>
        <v>0</v>
      </c>
    </row>
    <row r="449" spans="2:13" ht="22.5">
      <c r="B449" s="15">
        <v>437</v>
      </c>
      <c r="C449" s="15"/>
      <c r="D449" s="21" t="str">
        <f t="shared" si="19"/>
        <v/>
      </c>
      <c r="E449" s="60"/>
      <c r="F449" s="110" t="str">
        <f t="shared" si="20"/>
        <v/>
      </c>
      <c r="G449" s="60"/>
      <c r="H449" s="60"/>
      <c r="I449" s="60"/>
      <c r="J449" s="88"/>
      <c r="K449" s="89"/>
      <c r="L449" s="90"/>
      <c r="M449" s="10" t="b">
        <f t="shared" si="18"/>
        <v>0</v>
      </c>
    </row>
    <row r="450" spans="2:13" ht="22.5">
      <c r="B450" s="15">
        <v>438</v>
      </c>
      <c r="C450" s="15"/>
      <c r="D450" s="21" t="str">
        <f t="shared" si="19"/>
        <v/>
      </c>
      <c r="E450" s="60"/>
      <c r="F450" s="110" t="str">
        <f t="shared" si="20"/>
        <v/>
      </c>
      <c r="G450" s="60"/>
      <c r="H450" s="60"/>
      <c r="I450" s="60"/>
      <c r="J450" s="88"/>
      <c r="K450" s="89"/>
      <c r="L450" s="90"/>
      <c r="M450" s="10" t="b">
        <f t="shared" si="18"/>
        <v>0</v>
      </c>
    </row>
    <row r="451" spans="2:13" ht="22.5">
      <c r="B451" s="15">
        <v>439</v>
      </c>
      <c r="C451" s="15"/>
      <c r="D451" s="21" t="str">
        <f t="shared" si="19"/>
        <v/>
      </c>
      <c r="E451" s="60"/>
      <c r="F451" s="110" t="str">
        <f t="shared" si="20"/>
        <v/>
      </c>
      <c r="G451" s="60"/>
      <c r="H451" s="60"/>
      <c r="I451" s="60"/>
      <c r="J451" s="88"/>
      <c r="K451" s="89"/>
      <c r="L451" s="90"/>
      <c r="M451" s="10" t="b">
        <f t="shared" si="18"/>
        <v>0</v>
      </c>
    </row>
    <row r="452" spans="2:13" ht="22.5">
      <c r="B452" s="15">
        <v>440</v>
      </c>
      <c r="C452" s="15"/>
      <c r="D452" s="21" t="str">
        <f t="shared" si="19"/>
        <v/>
      </c>
      <c r="E452" s="60"/>
      <c r="F452" s="110" t="str">
        <f t="shared" si="20"/>
        <v/>
      </c>
      <c r="G452" s="60"/>
      <c r="H452" s="60"/>
      <c r="I452" s="60"/>
      <c r="J452" s="88"/>
      <c r="K452" s="89"/>
      <c r="L452" s="90"/>
      <c r="M452" s="10" t="b">
        <f t="shared" si="18"/>
        <v>0</v>
      </c>
    </row>
    <row r="453" spans="2:13" ht="22.5">
      <c r="B453" s="15">
        <v>441</v>
      </c>
      <c r="C453" s="15"/>
      <c r="D453" s="21" t="str">
        <f t="shared" si="19"/>
        <v/>
      </c>
      <c r="E453" s="60"/>
      <c r="F453" s="110" t="str">
        <f t="shared" si="20"/>
        <v/>
      </c>
      <c r="G453" s="60"/>
      <c r="H453" s="60"/>
      <c r="I453" s="60"/>
      <c r="J453" s="88"/>
      <c r="K453" s="89"/>
      <c r="L453" s="90"/>
      <c r="M453" s="10" t="b">
        <f t="shared" si="18"/>
        <v>0</v>
      </c>
    </row>
    <row r="454" spans="2:13" ht="22.5">
      <c r="B454" s="15">
        <v>442</v>
      </c>
      <c r="C454" s="15"/>
      <c r="D454" s="21" t="str">
        <f t="shared" si="19"/>
        <v/>
      </c>
      <c r="E454" s="60"/>
      <c r="F454" s="110" t="str">
        <f t="shared" si="20"/>
        <v/>
      </c>
      <c r="G454" s="60"/>
      <c r="H454" s="60"/>
      <c r="I454" s="60"/>
      <c r="J454" s="88"/>
      <c r="K454" s="89"/>
      <c r="L454" s="90"/>
      <c r="M454" s="10" t="b">
        <f t="shared" si="18"/>
        <v>0</v>
      </c>
    </row>
    <row r="455" spans="2:13" ht="22.5">
      <c r="B455" s="15">
        <v>443</v>
      </c>
      <c r="C455" s="15"/>
      <c r="D455" s="21" t="str">
        <f t="shared" si="19"/>
        <v/>
      </c>
      <c r="E455" s="60"/>
      <c r="F455" s="110" t="str">
        <f t="shared" si="20"/>
        <v/>
      </c>
      <c r="G455" s="60"/>
      <c r="H455" s="60"/>
      <c r="I455" s="60"/>
      <c r="J455" s="88"/>
      <c r="K455" s="89"/>
      <c r="L455" s="90"/>
      <c r="M455" s="10" t="b">
        <f t="shared" si="18"/>
        <v>0</v>
      </c>
    </row>
    <row r="456" spans="2:13" ht="22.5">
      <c r="B456" s="15">
        <v>444</v>
      </c>
      <c r="C456" s="15"/>
      <c r="D456" s="21" t="str">
        <f t="shared" si="19"/>
        <v/>
      </c>
      <c r="E456" s="60"/>
      <c r="F456" s="110" t="str">
        <f t="shared" si="20"/>
        <v/>
      </c>
      <c r="G456" s="60"/>
      <c r="H456" s="60"/>
      <c r="I456" s="60"/>
      <c r="J456" s="88"/>
      <c r="K456" s="89"/>
      <c r="L456" s="90"/>
      <c r="M456" s="10" t="b">
        <f t="shared" si="18"/>
        <v>0</v>
      </c>
    </row>
    <row r="457" spans="2:13" ht="22.5">
      <c r="B457" s="15">
        <v>445</v>
      </c>
      <c r="C457" s="15"/>
      <c r="D457" s="21" t="str">
        <f t="shared" si="19"/>
        <v/>
      </c>
      <c r="E457" s="60"/>
      <c r="F457" s="110" t="str">
        <f t="shared" si="20"/>
        <v/>
      </c>
      <c r="G457" s="60"/>
      <c r="H457" s="60"/>
      <c r="I457" s="60"/>
      <c r="J457" s="88"/>
      <c r="K457" s="89"/>
      <c r="L457" s="90"/>
      <c r="M457" s="10" t="b">
        <f t="shared" si="18"/>
        <v>0</v>
      </c>
    </row>
    <row r="458" spans="2:13" ht="22.5">
      <c r="B458" s="15">
        <v>446</v>
      </c>
      <c r="C458" s="15"/>
      <c r="D458" s="21" t="str">
        <f t="shared" si="19"/>
        <v/>
      </c>
      <c r="E458" s="60"/>
      <c r="F458" s="110" t="str">
        <f t="shared" si="20"/>
        <v/>
      </c>
      <c r="G458" s="60"/>
      <c r="H458" s="60"/>
      <c r="I458" s="60"/>
      <c r="J458" s="88"/>
      <c r="K458" s="89"/>
      <c r="L458" s="90"/>
      <c r="M458" s="10" t="b">
        <f t="shared" si="18"/>
        <v>0</v>
      </c>
    </row>
    <row r="459" spans="2:13" ht="22.5">
      <c r="B459" s="15">
        <v>447</v>
      </c>
      <c r="C459" s="15"/>
      <c r="D459" s="21" t="str">
        <f t="shared" si="19"/>
        <v/>
      </c>
      <c r="E459" s="60"/>
      <c r="F459" s="110" t="str">
        <f t="shared" si="20"/>
        <v/>
      </c>
      <c r="G459" s="60"/>
      <c r="H459" s="60"/>
      <c r="I459" s="60"/>
      <c r="J459" s="88"/>
      <c r="K459" s="89"/>
      <c r="L459" s="90"/>
      <c r="M459" s="10" t="b">
        <f t="shared" si="18"/>
        <v>0</v>
      </c>
    </row>
    <row r="460" spans="2:13" ht="22.5">
      <c r="B460" s="15">
        <v>448</v>
      </c>
      <c r="C460" s="15"/>
      <c r="D460" s="21" t="str">
        <f t="shared" si="19"/>
        <v/>
      </c>
      <c r="E460" s="60"/>
      <c r="F460" s="110" t="str">
        <f t="shared" si="20"/>
        <v/>
      </c>
      <c r="G460" s="60"/>
      <c r="H460" s="60"/>
      <c r="I460" s="60"/>
      <c r="J460" s="88"/>
      <c r="K460" s="89"/>
      <c r="L460" s="90"/>
      <c r="M460" s="10" t="b">
        <f t="shared" si="18"/>
        <v>0</v>
      </c>
    </row>
    <row r="461" spans="2:13" ht="22.5">
      <c r="B461" s="15">
        <v>449</v>
      </c>
      <c r="C461" s="15"/>
      <c r="D461" s="21" t="str">
        <f t="shared" si="19"/>
        <v/>
      </c>
      <c r="E461" s="60"/>
      <c r="F461" s="110" t="str">
        <f t="shared" si="20"/>
        <v/>
      </c>
      <c r="G461" s="60"/>
      <c r="H461" s="60"/>
      <c r="I461" s="60"/>
      <c r="J461" s="88"/>
      <c r="K461" s="89"/>
      <c r="L461" s="90"/>
      <c r="M461" s="10" t="b">
        <f t="shared" ref="M461:M512" si="21">IF(COUNTA(E461,G461)=0,FALSE,TRUE)</f>
        <v>0</v>
      </c>
    </row>
    <row r="462" spans="2:13" ht="22.5">
      <c r="B462" s="15">
        <v>450</v>
      </c>
      <c r="C462" s="15"/>
      <c r="D462" s="21" t="str">
        <f t="shared" ref="D462:D512" si="22">IF(LEN(E462)=0,"",IF((AND(ISNUMBER(VALUE(E462)),LEN(E462)=12)),3,IF(AND(ISNUMBER(VALUE(E462)),(LEN(E462)=10)),1,IF(AND(OR((LEFT(E462)="R"),(LEFT(E462)="R")),(ISNUMBER(VALUE(RIGHT(E462,9)))),(LEN(E462)=10)),2,FALSE))))</f>
        <v/>
      </c>
      <c r="E462" s="60"/>
      <c r="F462" s="110" t="str">
        <f t="shared" ref="F462:F512" si="23">IF(D462=FALSE,"←ご確認ください",IF(OR(D462=1,D462=2,D462=3),"形式OK",""))</f>
        <v/>
      </c>
      <c r="G462" s="60"/>
      <c r="H462" s="60"/>
      <c r="I462" s="60"/>
      <c r="J462" s="88"/>
      <c r="K462" s="89"/>
      <c r="L462" s="90"/>
      <c r="M462" s="10" t="b">
        <f t="shared" si="21"/>
        <v>0</v>
      </c>
    </row>
    <row r="463" spans="2:13" ht="22.5">
      <c r="B463" s="15">
        <v>451</v>
      </c>
      <c r="C463" s="15"/>
      <c r="D463" s="21" t="str">
        <f t="shared" si="22"/>
        <v/>
      </c>
      <c r="E463" s="60"/>
      <c r="F463" s="110" t="str">
        <f t="shared" si="23"/>
        <v/>
      </c>
      <c r="G463" s="60"/>
      <c r="H463" s="60"/>
      <c r="I463" s="60"/>
      <c r="J463" s="88"/>
      <c r="K463" s="89"/>
      <c r="L463" s="90"/>
      <c r="M463" s="10" t="b">
        <f t="shared" si="21"/>
        <v>0</v>
      </c>
    </row>
    <row r="464" spans="2:13" ht="22.5">
      <c r="B464" s="15">
        <v>452</v>
      </c>
      <c r="C464" s="15"/>
      <c r="D464" s="21" t="str">
        <f t="shared" si="22"/>
        <v/>
      </c>
      <c r="E464" s="60"/>
      <c r="F464" s="110" t="str">
        <f t="shared" si="23"/>
        <v/>
      </c>
      <c r="G464" s="60"/>
      <c r="H464" s="60"/>
      <c r="I464" s="60"/>
      <c r="J464" s="88"/>
      <c r="K464" s="89"/>
      <c r="L464" s="90"/>
      <c r="M464" s="10" t="b">
        <f t="shared" si="21"/>
        <v>0</v>
      </c>
    </row>
    <row r="465" spans="2:13" ht="22.5">
      <c r="B465" s="15">
        <v>453</v>
      </c>
      <c r="C465" s="15"/>
      <c r="D465" s="21" t="str">
        <f t="shared" si="22"/>
        <v/>
      </c>
      <c r="E465" s="60"/>
      <c r="F465" s="110" t="str">
        <f t="shared" si="23"/>
        <v/>
      </c>
      <c r="G465" s="60"/>
      <c r="H465" s="60"/>
      <c r="I465" s="60"/>
      <c r="J465" s="88"/>
      <c r="K465" s="89"/>
      <c r="L465" s="90"/>
      <c r="M465" s="10" t="b">
        <f t="shared" si="21"/>
        <v>0</v>
      </c>
    </row>
    <row r="466" spans="2:13" ht="22.5">
      <c r="B466" s="15">
        <v>454</v>
      </c>
      <c r="C466" s="15"/>
      <c r="D466" s="21" t="str">
        <f t="shared" si="22"/>
        <v/>
      </c>
      <c r="E466" s="60"/>
      <c r="F466" s="110" t="str">
        <f t="shared" si="23"/>
        <v/>
      </c>
      <c r="G466" s="60"/>
      <c r="H466" s="60"/>
      <c r="I466" s="60"/>
      <c r="J466" s="88"/>
      <c r="K466" s="89"/>
      <c r="L466" s="90"/>
      <c r="M466" s="10" t="b">
        <f t="shared" si="21"/>
        <v>0</v>
      </c>
    </row>
    <row r="467" spans="2:13" ht="22.5">
      <c r="B467" s="15">
        <v>455</v>
      </c>
      <c r="C467" s="15"/>
      <c r="D467" s="21" t="str">
        <f t="shared" si="22"/>
        <v/>
      </c>
      <c r="E467" s="60"/>
      <c r="F467" s="110" t="str">
        <f t="shared" si="23"/>
        <v/>
      </c>
      <c r="G467" s="60"/>
      <c r="H467" s="60"/>
      <c r="I467" s="60"/>
      <c r="J467" s="88"/>
      <c r="K467" s="89"/>
      <c r="L467" s="90"/>
      <c r="M467" s="10" t="b">
        <f t="shared" si="21"/>
        <v>0</v>
      </c>
    </row>
    <row r="468" spans="2:13" ht="22.5">
      <c r="B468" s="15">
        <v>456</v>
      </c>
      <c r="C468" s="15"/>
      <c r="D468" s="21" t="str">
        <f t="shared" si="22"/>
        <v/>
      </c>
      <c r="E468" s="60"/>
      <c r="F468" s="110" t="str">
        <f t="shared" si="23"/>
        <v/>
      </c>
      <c r="G468" s="60"/>
      <c r="H468" s="60"/>
      <c r="I468" s="60"/>
      <c r="J468" s="88"/>
      <c r="K468" s="89"/>
      <c r="L468" s="90"/>
      <c r="M468" s="10" t="b">
        <f t="shared" si="21"/>
        <v>0</v>
      </c>
    </row>
    <row r="469" spans="2:13" ht="22.5">
      <c r="B469" s="15">
        <v>457</v>
      </c>
      <c r="C469" s="15"/>
      <c r="D469" s="21" t="str">
        <f t="shared" si="22"/>
        <v/>
      </c>
      <c r="E469" s="60"/>
      <c r="F469" s="110" t="str">
        <f t="shared" si="23"/>
        <v/>
      </c>
      <c r="G469" s="60"/>
      <c r="H469" s="60"/>
      <c r="I469" s="60"/>
      <c r="J469" s="88"/>
      <c r="K469" s="89"/>
      <c r="L469" s="90"/>
      <c r="M469" s="10" t="b">
        <f t="shared" si="21"/>
        <v>0</v>
      </c>
    </row>
    <row r="470" spans="2:13" ht="22.5">
      <c r="B470" s="15">
        <v>458</v>
      </c>
      <c r="C470" s="15"/>
      <c r="D470" s="21" t="str">
        <f t="shared" si="22"/>
        <v/>
      </c>
      <c r="E470" s="60"/>
      <c r="F470" s="110" t="str">
        <f t="shared" si="23"/>
        <v/>
      </c>
      <c r="G470" s="60"/>
      <c r="H470" s="60"/>
      <c r="I470" s="60"/>
      <c r="J470" s="88"/>
      <c r="K470" s="89"/>
      <c r="L470" s="90"/>
      <c r="M470" s="10" t="b">
        <f t="shared" si="21"/>
        <v>0</v>
      </c>
    </row>
    <row r="471" spans="2:13" ht="22.5">
      <c r="B471" s="15">
        <v>459</v>
      </c>
      <c r="C471" s="15"/>
      <c r="D471" s="21" t="str">
        <f t="shared" si="22"/>
        <v/>
      </c>
      <c r="E471" s="60"/>
      <c r="F471" s="110" t="str">
        <f t="shared" si="23"/>
        <v/>
      </c>
      <c r="G471" s="60"/>
      <c r="H471" s="60"/>
      <c r="I471" s="60"/>
      <c r="J471" s="88"/>
      <c r="K471" s="89"/>
      <c r="L471" s="90"/>
      <c r="M471" s="10" t="b">
        <f t="shared" si="21"/>
        <v>0</v>
      </c>
    </row>
    <row r="472" spans="2:13" ht="22.5">
      <c r="B472" s="15">
        <v>460</v>
      </c>
      <c r="C472" s="15"/>
      <c r="D472" s="21" t="str">
        <f t="shared" si="22"/>
        <v/>
      </c>
      <c r="E472" s="60"/>
      <c r="F472" s="110" t="str">
        <f t="shared" si="23"/>
        <v/>
      </c>
      <c r="G472" s="60"/>
      <c r="H472" s="60"/>
      <c r="I472" s="60"/>
      <c r="J472" s="88"/>
      <c r="K472" s="89"/>
      <c r="L472" s="90"/>
      <c r="M472" s="10" t="b">
        <f t="shared" si="21"/>
        <v>0</v>
      </c>
    </row>
    <row r="473" spans="2:13" ht="22.5">
      <c r="B473" s="15">
        <v>461</v>
      </c>
      <c r="C473" s="15"/>
      <c r="D473" s="21" t="str">
        <f t="shared" si="22"/>
        <v/>
      </c>
      <c r="E473" s="60"/>
      <c r="F473" s="110" t="str">
        <f t="shared" si="23"/>
        <v/>
      </c>
      <c r="G473" s="60"/>
      <c r="H473" s="60"/>
      <c r="I473" s="60"/>
      <c r="J473" s="88"/>
      <c r="K473" s="89"/>
      <c r="L473" s="90"/>
      <c r="M473" s="10" t="b">
        <f t="shared" si="21"/>
        <v>0</v>
      </c>
    </row>
    <row r="474" spans="2:13" ht="22.5">
      <c r="B474" s="15">
        <v>462</v>
      </c>
      <c r="C474" s="15"/>
      <c r="D474" s="21" t="str">
        <f t="shared" si="22"/>
        <v/>
      </c>
      <c r="E474" s="60"/>
      <c r="F474" s="110" t="str">
        <f t="shared" si="23"/>
        <v/>
      </c>
      <c r="G474" s="60"/>
      <c r="H474" s="60"/>
      <c r="I474" s="60"/>
      <c r="J474" s="88"/>
      <c r="K474" s="89"/>
      <c r="L474" s="90"/>
      <c r="M474" s="10" t="b">
        <f t="shared" si="21"/>
        <v>0</v>
      </c>
    </row>
    <row r="475" spans="2:13" ht="22.5">
      <c r="B475" s="15">
        <v>463</v>
      </c>
      <c r="C475" s="15"/>
      <c r="D475" s="21" t="str">
        <f t="shared" si="22"/>
        <v/>
      </c>
      <c r="E475" s="60"/>
      <c r="F475" s="110" t="str">
        <f t="shared" si="23"/>
        <v/>
      </c>
      <c r="G475" s="60"/>
      <c r="H475" s="60"/>
      <c r="I475" s="60"/>
      <c r="J475" s="88"/>
      <c r="K475" s="89"/>
      <c r="L475" s="90"/>
      <c r="M475" s="10" t="b">
        <f t="shared" si="21"/>
        <v>0</v>
      </c>
    </row>
    <row r="476" spans="2:13" ht="22.5">
      <c r="B476" s="15">
        <v>464</v>
      </c>
      <c r="C476" s="15"/>
      <c r="D476" s="21" t="str">
        <f t="shared" si="22"/>
        <v/>
      </c>
      <c r="E476" s="60"/>
      <c r="F476" s="110" t="str">
        <f t="shared" si="23"/>
        <v/>
      </c>
      <c r="G476" s="60"/>
      <c r="H476" s="60"/>
      <c r="I476" s="60"/>
      <c r="J476" s="88"/>
      <c r="K476" s="89"/>
      <c r="L476" s="90"/>
      <c r="M476" s="10" t="b">
        <f t="shared" si="21"/>
        <v>0</v>
      </c>
    </row>
    <row r="477" spans="2:13" ht="22.5">
      <c r="B477" s="15">
        <v>465</v>
      </c>
      <c r="C477" s="15"/>
      <c r="D477" s="21" t="str">
        <f t="shared" si="22"/>
        <v/>
      </c>
      <c r="E477" s="60"/>
      <c r="F477" s="110" t="str">
        <f t="shared" si="23"/>
        <v/>
      </c>
      <c r="G477" s="60"/>
      <c r="H477" s="60"/>
      <c r="I477" s="60"/>
      <c r="J477" s="88"/>
      <c r="K477" s="89"/>
      <c r="L477" s="90"/>
      <c r="M477" s="10" t="b">
        <f t="shared" si="21"/>
        <v>0</v>
      </c>
    </row>
    <row r="478" spans="2:13" ht="22.5">
      <c r="B478" s="15">
        <v>466</v>
      </c>
      <c r="C478" s="15"/>
      <c r="D478" s="21" t="str">
        <f t="shared" si="22"/>
        <v/>
      </c>
      <c r="E478" s="60"/>
      <c r="F478" s="110" t="str">
        <f t="shared" si="23"/>
        <v/>
      </c>
      <c r="G478" s="60"/>
      <c r="H478" s="60"/>
      <c r="I478" s="60"/>
      <c r="J478" s="88"/>
      <c r="K478" s="89"/>
      <c r="L478" s="90"/>
      <c r="M478" s="10" t="b">
        <f t="shared" si="21"/>
        <v>0</v>
      </c>
    </row>
    <row r="479" spans="2:13" ht="22.5">
      <c r="B479" s="15">
        <v>467</v>
      </c>
      <c r="C479" s="15"/>
      <c r="D479" s="21" t="str">
        <f t="shared" si="22"/>
        <v/>
      </c>
      <c r="E479" s="60"/>
      <c r="F479" s="110" t="str">
        <f t="shared" si="23"/>
        <v/>
      </c>
      <c r="G479" s="60"/>
      <c r="H479" s="60"/>
      <c r="I479" s="60"/>
      <c r="J479" s="88"/>
      <c r="K479" s="89"/>
      <c r="L479" s="90"/>
      <c r="M479" s="10" t="b">
        <f t="shared" si="21"/>
        <v>0</v>
      </c>
    </row>
    <row r="480" spans="2:13" ht="22.5">
      <c r="B480" s="15">
        <v>468</v>
      </c>
      <c r="C480" s="15"/>
      <c r="D480" s="21" t="str">
        <f t="shared" si="22"/>
        <v/>
      </c>
      <c r="E480" s="60"/>
      <c r="F480" s="110" t="str">
        <f t="shared" si="23"/>
        <v/>
      </c>
      <c r="G480" s="60"/>
      <c r="H480" s="60"/>
      <c r="I480" s="60"/>
      <c r="J480" s="88"/>
      <c r="K480" s="89"/>
      <c r="L480" s="90"/>
      <c r="M480" s="10" t="b">
        <f t="shared" si="21"/>
        <v>0</v>
      </c>
    </row>
    <row r="481" spans="2:13" ht="22.5">
      <c r="B481" s="15">
        <v>469</v>
      </c>
      <c r="C481" s="15"/>
      <c r="D481" s="21" t="str">
        <f t="shared" si="22"/>
        <v/>
      </c>
      <c r="E481" s="60"/>
      <c r="F481" s="110" t="str">
        <f t="shared" si="23"/>
        <v/>
      </c>
      <c r="G481" s="60"/>
      <c r="H481" s="60"/>
      <c r="I481" s="60"/>
      <c r="J481" s="88"/>
      <c r="K481" s="89"/>
      <c r="L481" s="90"/>
      <c r="M481" s="10" t="b">
        <f t="shared" si="21"/>
        <v>0</v>
      </c>
    </row>
    <row r="482" spans="2:13" ht="22.5">
      <c r="B482" s="15">
        <v>470</v>
      </c>
      <c r="C482" s="15"/>
      <c r="D482" s="21" t="str">
        <f t="shared" si="22"/>
        <v/>
      </c>
      <c r="E482" s="60"/>
      <c r="F482" s="110" t="str">
        <f t="shared" si="23"/>
        <v/>
      </c>
      <c r="G482" s="60"/>
      <c r="H482" s="60"/>
      <c r="I482" s="60"/>
      <c r="J482" s="88"/>
      <c r="K482" s="89"/>
      <c r="L482" s="90"/>
      <c r="M482" s="10" t="b">
        <f t="shared" si="21"/>
        <v>0</v>
      </c>
    </row>
    <row r="483" spans="2:13" ht="22.5">
      <c r="B483" s="15">
        <v>471</v>
      </c>
      <c r="C483" s="15"/>
      <c r="D483" s="21" t="str">
        <f t="shared" si="22"/>
        <v/>
      </c>
      <c r="E483" s="60"/>
      <c r="F483" s="110" t="str">
        <f t="shared" si="23"/>
        <v/>
      </c>
      <c r="G483" s="60"/>
      <c r="H483" s="60"/>
      <c r="I483" s="60"/>
      <c r="J483" s="88"/>
      <c r="K483" s="89"/>
      <c r="L483" s="90"/>
      <c r="M483" s="10" t="b">
        <f t="shared" si="21"/>
        <v>0</v>
      </c>
    </row>
    <row r="484" spans="2:13" ht="22.5">
      <c r="B484" s="15">
        <v>472</v>
      </c>
      <c r="C484" s="15"/>
      <c r="D484" s="21" t="str">
        <f t="shared" si="22"/>
        <v/>
      </c>
      <c r="E484" s="60"/>
      <c r="F484" s="110" t="str">
        <f t="shared" si="23"/>
        <v/>
      </c>
      <c r="G484" s="60"/>
      <c r="H484" s="60"/>
      <c r="I484" s="60"/>
      <c r="J484" s="88"/>
      <c r="K484" s="89"/>
      <c r="L484" s="90"/>
      <c r="M484" s="10" t="b">
        <f t="shared" si="21"/>
        <v>0</v>
      </c>
    </row>
    <row r="485" spans="2:13" ht="22.5">
      <c r="B485" s="15">
        <v>473</v>
      </c>
      <c r="C485" s="15"/>
      <c r="D485" s="21" t="str">
        <f t="shared" si="22"/>
        <v/>
      </c>
      <c r="E485" s="60"/>
      <c r="F485" s="110" t="str">
        <f t="shared" si="23"/>
        <v/>
      </c>
      <c r="G485" s="60"/>
      <c r="H485" s="60"/>
      <c r="I485" s="60"/>
      <c r="J485" s="88"/>
      <c r="K485" s="89"/>
      <c r="L485" s="90"/>
      <c r="M485" s="10" t="b">
        <f t="shared" si="21"/>
        <v>0</v>
      </c>
    </row>
    <row r="486" spans="2:13" ht="22.5">
      <c r="B486" s="15">
        <v>474</v>
      </c>
      <c r="C486" s="15"/>
      <c r="D486" s="21" t="str">
        <f t="shared" si="22"/>
        <v/>
      </c>
      <c r="E486" s="60"/>
      <c r="F486" s="110" t="str">
        <f t="shared" si="23"/>
        <v/>
      </c>
      <c r="G486" s="60"/>
      <c r="H486" s="60"/>
      <c r="I486" s="60"/>
      <c r="J486" s="88"/>
      <c r="K486" s="89"/>
      <c r="L486" s="90"/>
      <c r="M486" s="10" t="b">
        <f t="shared" si="21"/>
        <v>0</v>
      </c>
    </row>
    <row r="487" spans="2:13" ht="22.5">
      <c r="B487" s="15">
        <v>475</v>
      </c>
      <c r="C487" s="15"/>
      <c r="D487" s="21" t="str">
        <f t="shared" si="22"/>
        <v/>
      </c>
      <c r="E487" s="60"/>
      <c r="F487" s="110" t="str">
        <f t="shared" si="23"/>
        <v/>
      </c>
      <c r="G487" s="60"/>
      <c r="H487" s="60"/>
      <c r="I487" s="60"/>
      <c r="J487" s="88"/>
      <c r="K487" s="89"/>
      <c r="L487" s="90"/>
      <c r="M487" s="10" t="b">
        <f t="shared" si="21"/>
        <v>0</v>
      </c>
    </row>
    <row r="488" spans="2:13" ht="22.5">
      <c r="B488" s="15">
        <v>476</v>
      </c>
      <c r="C488" s="15"/>
      <c r="D488" s="21" t="str">
        <f t="shared" si="22"/>
        <v/>
      </c>
      <c r="E488" s="60"/>
      <c r="F488" s="110" t="str">
        <f t="shared" si="23"/>
        <v/>
      </c>
      <c r="G488" s="60"/>
      <c r="H488" s="60"/>
      <c r="I488" s="60"/>
      <c r="J488" s="88"/>
      <c r="K488" s="89"/>
      <c r="L488" s="90"/>
      <c r="M488" s="10" t="b">
        <f t="shared" si="21"/>
        <v>0</v>
      </c>
    </row>
    <row r="489" spans="2:13" ht="22.5">
      <c r="B489" s="15">
        <v>477</v>
      </c>
      <c r="C489" s="15"/>
      <c r="D489" s="21" t="str">
        <f t="shared" si="22"/>
        <v/>
      </c>
      <c r="E489" s="60"/>
      <c r="F489" s="110" t="str">
        <f t="shared" si="23"/>
        <v/>
      </c>
      <c r="G489" s="60"/>
      <c r="H489" s="60"/>
      <c r="I489" s="60"/>
      <c r="J489" s="88"/>
      <c r="K489" s="89"/>
      <c r="L489" s="90"/>
      <c r="M489" s="10" t="b">
        <f t="shared" si="21"/>
        <v>0</v>
      </c>
    </row>
    <row r="490" spans="2:13" ht="22.5">
      <c r="B490" s="15">
        <v>478</v>
      </c>
      <c r="C490" s="15"/>
      <c r="D490" s="21" t="str">
        <f t="shared" si="22"/>
        <v/>
      </c>
      <c r="E490" s="60"/>
      <c r="F490" s="110" t="str">
        <f t="shared" si="23"/>
        <v/>
      </c>
      <c r="G490" s="60"/>
      <c r="H490" s="60"/>
      <c r="I490" s="60"/>
      <c r="J490" s="88"/>
      <c r="K490" s="89"/>
      <c r="L490" s="90"/>
      <c r="M490" s="10" t="b">
        <f t="shared" si="21"/>
        <v>0</v>
      </c>
    </row>
    <row r="491" spans="2:13" ht="22.5">
      <c r="B491" s="15">
        <v>479</v>
      </c>
      <c r="C491" s="15"/>
      <c r="D491" s="21" t="str">
        <f t="shared" si="22"/>
        <v/>
      </c>
      <c r="E491" s="60"/>
      <c r="F491" s="110" t="str">
        <f t="shared" si="23"/>
        <v/>
      </c>
      <c r="G491" s="60"/>
      <c r="H491" s="60"/>
      <c r="I491" s="60"/>
      <c r="J491" s="88"/>
      <c r="K491" s="89"/>
      <c r="L491" s="90"/>
      <c r="M491" s="10" t="b">
        <f t="shared" si="21"/>
        <v>0</v>
      </c>
    </row>
    <row r="492" spans="2:13" ht="22.5">
      <c r="B492" s="15">
        <v>480</v>
      </c>
      <c r="C492" s="15"/>
      <c r="D492" s="21" t="str">
        <f t="shared" si="22"/>
        <v/>
      </c>
      <c r="E492" s="60"/>
      <c r="F492" s="110" t="str">
        <f t="shared" si="23"/>
        <v/>
      </c>
      <c r="G492" s="60"/>
      <c r="H492" s="60"/>
      <c r="I492" s="60"/>
      <c r="J492" s="88"/>
      <c r="K492" s="89"/>
      <c r="L492" s="90"/>
      <c r="M492" s="10" t="b">
        <f t="shared" si="21"/>
        <v>0</v>
      </c>
    </row>
    <row r="493" spans="2:13" ht="22.5">
      <c r="B493" s="15">
        <v>481</v>
      </c>
      <c r="C493" s="15"/>
      <c r="D493" s="21" t="str">
        <f t="shared" si="22"/>
        <v/>
      </c>
      <c r="E493" s="60"/>
      <c r="F493" s="110" t="str">
        <f t="shared" si="23"/>
        <v/>
      </c>
      <c r="G493" s="60"/>
      <c r="H493" s="60"/>
      <c r="I493" s="60"/>
      <c r="J493" s="88"/>
      <c r="K493" s="89"/>
      <c r="L493" s="90"/>
      <c r="M493" s="10" t="b">
        <f t="shared" si="21"/>
        <v>0</v>
      </c>
    </row>
    <row r="494" spans="2:13" ht="22.5">
      <c r="B494" s="15">
        <v>482</v>
      </c>
      <c r="C494" s="15"/>
      <c r="D494" s="21" t="str">
        <f t="shared" si="22"/>
        <v/>
      </c>
      <c r="E494" s="60"/>
      <c r="F494" s="110" t="str">
        <f t="shared" si="23"/>
        <v/>
      </c>
      <c r="G494" s="60"/>
      <c r="H494" s="60"/>
      <c r="I494" s="60"/>
      <c r="J494" s="88"/>
      <c r="K494" s="89"/>
      <c r="L494" s="90"/>
      <c r="M494" s="10" t="b">
        <f t="shared" si="21"/>
        <v>0</v>
      </c>
    </row>
    <row r="495" spans="2:13" ht="22.5">
      <c r="B495" s="15">
        <v>483</v>
      </c>
      <c r="C495" s="15"/>
      <c r="D495" s="21" t="str">
        <f t="shared" si="22"/>
        <v/>
      </c>
      <c r="E495" s="60"/>
      <c r="F495" s="110" t="str">
        <f t="shared" si="23"/>
        <v/>
      </c>
      <c r="G495" s="60"/>
      <c r="H495" s="60"/>
      <c r="I495" s="60"/>
      <c r="J495" s="88"/>
      <c r="K495" s="89"/>
      <c r="L495" s="90"/>
      <c r="M495" s="10" t="b">
        <f t="shared" si="21"/>
        <v>0</v>
      </c>
    </row>
    <row r="496" spans="2:13" ht="22.5">
      <c r="B496" s="15">
        <v>484</v>
      </c>
      <c r="C496" s="15"/>
      <c r="D496" s="21" t="str">
        <f t="shared" si="22"/>
        <v/>
      </c>
      <c r="E496" s="60"/>
      <c r="F496" s="110" t="str">
        <f t="shared" si="23"/>
        <v/>
      </c>
      <c r="G496" s="60"/>
      <c r="H496" s="60"/>
      <c r="I496" s="60"/>
      <c r="J496" s="88"/>
      <c r="K496" s="89"/>
      <c r="L496" s="90"/>
      <c r="M496" s="10" t="b">
        <f t="shared" si="21"/>
        <v>0</v>
      </c>
    </row>
    <row r="497" spans="2:13" ht="22.5">
      <c r="B497" s="15">
        <v>485</v>
      </c>
      <c r="C497" s="15"/>
      <c r="D497" s="21" t="str">
        <f t="shared" si="22"/>
        <v/>
      </c>
      <c r="E497" s="60"/>
      <c r="F497" s="110" t="str">
        <f t="shared" si="23"/>
        <v/>
      </c>
      <c r="G497" s="60"/>
      <c r="H497" s="60"/>
      <c r="I497" s="60"/>
      <c r="J497" s="88"/>
      <c r="K497" s="89"/>
      <c r="L497" s="90"/>
      <c r="M497" s="10" t="b">
        <f t="shared" si="21"/>
        <v>0</v>
      </c>
    </row>
    <row r="498" spans="2:13" ht="22.5">
      <c r="B498" s="15">
        <v>486</v>
      </c>
      <c r="C498" s="15"/>
      <c r="D498" s="21" t="str">
        <f t="shared" si="22"/>
        <v/>
      </c>
      <c r="E498" s="60"/>
      <c r="F498" s="110" t="str">
        <f t="shared" si="23"/>
        <v/>
      </c>
      <c r="G498" s="60"/>
      <c r="H498" s="60"/>
      <c r="I498" s="60"/>
      <c r="J498" s="88"/>
      <c r="K498" s="89"/>
      <c r="L498" s="90"/>
      <c r="M498" s="10" t="b">
        <f t="shared" si="21"/>
        <v>0</v>
      </c>
    </row>
    <row r="499" spans="2:13" ht="22.5">
      <c r="B499" s="15">
        <v>487</v>
      </c>
      <c r="C499" s="15"/>
      <c r="D499" s="21" t="str">
        <f t="shared" si="22"/>
        <v/>
      </c>
      <c r="E499" s="60"/>
      <c r="F499" s="110" t="str">
        <f t="shared" si="23"/>
        <v/>
      </c>
      <c r="G499" s="60"/>
      <c r="H499" s="60"/>
      <c r="I499" s="60"/>
      <c r="J499" s="88"/>
      <c r="K499" s="89"/>
      <c r="L499" s="90"/>
      <c r="M499" s="10" t="b">
        <f t="shared" si="21"/>
        <v>0</v>
      </c>
    </row>
    <row r="500" spans="2:13" ht="22.5">
      <c r="B500" s="15">
        <v>488</v>
      </c>
      <c r="C500" s="15"/>
      <c r="D500" s="21" t="str">
        <f t="shared" si="22"/>
        <v/>
      </c>
      <c r="E500" s="60"/>
      <c r="F500" s="110" t="str">
        <f t="shared" si="23"/>
        <v/>
      </c>
      <c r="G500" s="60"/>
      <c r="H500" s="60"/>
      <c r="I500" s="60"/>
      <c r="J500" s="88"/>
      <c r="K500" s="89"/>
      <c r="L500" s="90"/>
      <c r="M500" s="10" t="b">
        <f t="shared" si="21"/>
        <v>0</v>
      </c>
    </row>
    <row r="501" spans="2:13" ht="22.5">
      <c r="B501" s="15">
        <v>489</v>
      </c>
      <c r="C501" s="15"/>
      <c r="D501" s="21" t="str">
        <f t="shared" si="22"/>
        <v/>
      </c>
      <c r="E501" s="60"/>
      <c r="F501" s="110" t="str">
        <f t="shared" si="23"/>
        <v/>
      </c>
      <c r="G501" s="60"/>
      <c r="H501" s="60"/>
      <c r="I501" s="60"/>
      <c r="J501" s="88"/>
      <c r="K501" s="89"/>
      <c r="L501" s="90"/>
      <c r="M501" s="10" t="b">
        <f t="shared" si="21"/>
        <v>0</v>
      </c>
    </row>
    <row r="502" spans="2:13" ht="22.5">
      <c r="B502" s="15">
        <v>490</v>
      </c>
      <c r="C502" s="15"/>
      <c r="D502" s="21" t="str">
        <f t="shared" si="22"/>
        <v/>
      </c>
      <c r="E502" s="60"/>
      <c r="F502" s="110" t="str">
        <f t="shared" si="23"/>
        <v/>
      </c>
      <c r="G502" s="60"/>
      <c r="H502" s="60"/>
      <c r="I502" s="60"/>
      <c r="J502" s="88"/>
      <c r="K502" s="89"/>
      <c r="L502" s="90"/>
      <c r="M502" s="10" t="b">
        <f t="shared" si="21"/>
        <v>0</v>
      </c>
    </row>
    <row r="503" spans="2:13" ht="22.5">
      <c r="B503" s="15">
        <v>491</v>
      </c>
      <c r="C503" s="15"/>
      <c r="D503" s="21" t="str">
        <f t="shared" si="22"/>
        <v/>
      </c>
      <c r="E503" s="60"/>
      <c r="F503" s="110" t="str">
        <f t="shared" si="23"/>
        <v/>
      </c>
      <c r="G503" s="60"/>
      <c r="H503" s="60"/>
      <c r="I503" s="60"/>
      <c r="J503" s="88"/>
      <c r="K503" s="89"/>
      <c r="L503" s="90"/>
      <c r="M503" s="10" t="b">
        <f t="shared" si="21"/>
        <v>0</v>
      </c>
    </row>
    <row r="504" spans="2:13" ht="22.5">
      <c r="B504" s="15">
        <v>492</v>
      </c>
      <c r="C504" s="15"/>
      <c r="D504" s="21" t="str">
        <f t="shared" si="22"/>
        <v/>
      </c>
      <c r="E504" s="60"/>
      <c r="F504" s="110" t="str">
        <f t="shared" si="23"/>
        <v/>
      </c>
      <c r="G504" s="60"/>
      <c r="H504" s="60"/>
      <c r="I504" s="60"/>
      <c r="J504" s="88"/>
      <c r="K504" s="89"/>
      <c r="L504" s="90"/>
      <c r="M504" s="10" t="b">
        <f t="shared" si="21"/>
        <v>0</v>
      </c>
    </row>
    <row r="505" spans="2:13" ht="22.5">
      <c r="B505" s="15">
        <v>493</v>
      </c>
      <c r="C505" s="15"/>
      <c r="D505" s="21" t="str">
        <f t="shared" si="22"/>
        <v/>
      </c>
      <c r="E505" s="60"/>
      <c r="F505" s="110" t="str">
        <f t="shared" si="23"/>
        <v/>
      </c>
      <c r="G505" s="60"/>
      <c r="H505" s="60"/>
      <c r="I505" s="60"/>
      <c r="J505" s="88"/>
      <c r="K505" s="89"/>
      <c r="L505" s="90"/>
      <c r="M505" s="10" t="b">
        <f t="shared" si="21"/>
        <v>0</v>
      </c>
    </row>
    <row r="506" spans="2:13" ht="22.5">
      <c r="B506" s="15">
        <v>494</v>
      </c>
      <c r="C506" s="15"/>
      <c r="D506" s="21" t="str">
        <f t="shared" si="22"/>
        <v/>
      </c>
      <c r="E506" s="60"/>
      <c r="F506" s="110" t="str">
        <f t="shared" si="23"/>
        <v/>
      </c>
      <c r="G506" s="60"/>
      <c r="H506" s="60"/>
      <c r="I506" s="60"/>
      <c r="J506" s="88"/>
      <c r="K506" s="89"/>
      <c r="L506" s="90"/>
      <c r="M506" s="10" t="b">
        <f t="shared" si="21"/>
        <v>0</v>
      </c>
    </row>
    <row r="507" spans="2:13" ht="22.5">
      <c r="B507" s="15">
        <v>495</v>
      </c>
      <c r="C507" s="15"/>
      <c r="D507" s="21" t="str">
        <f t="shared" si="22"/>
        <v/>
      </c>
      <c r="E507" s="60"/>
      <c r="F507" s="110" t="str">
        <f t="shared" si="23"/>
        <v/>
      </c>
      <c r="G507" s="60"/>
      <c r="H507" s="60"/>
      <c r="I507" s="60"/>
      <c r="J507" s="88"/>
      <c r="K507" s="89"/>
      <c r="L507" s="90"/>
      <c r="M507" s="10" t="b">
        <f t="shared" si="21"/>
        <v>0</v>
      </c>
    </row>
    <row r="508" spans="2:13" ht="22.5">
      <c r="B508" s="15">
        <v>496</v>
      </c>
      <c r="C508" s="15"/>
      <c r="D508" s="21" t="str">
        <f t="shared" si="22"/>
        <v/>
      </c>
      <c r="E508" s="60"/>
      <c r="F508" s="110" t="str">
        <f t="shared" si="23"/>
        <v/>
      </c>
      <c r="G508" s="60"/>
      <c r="H508" s="60"/>
      <c r="I508" s="60"/>
      <c r="J508" s="88"/>
      <c r="K508" s="89"/>
      <c r="L508" s="90"/>
      <c r="M508" s="10" t="b">
        <f t="shared" si="21"/>
        <v>0</v>
      </c>
    </row>
    <row r="509" spans="2:13" ht="22.5">
      <c r="B509" s="15">
        <v>497</v>
      </c>
      <c r="C509" s="15"/>
      <c r="D509" s="21" t="str">
        <f t="shared" si="22"/>
        <v/>
      </c>
      <c r="E509" s="60"/>
      <c r="F509" s="110" t="str">
        <f t="shared" si="23"/>
        <v/>
      </c>
      <c r="G509" s="60"/>
      <c r="H509" s="60"/>
      <c r="I509" s="60"/>
      <c r="J509" s="88"/>
      <c r="K509" s="89"/>
      <c r="L509" s="90"/>
      <c r="M509" s="10" t="b">
        <f t="shared" si="21"/>
        <v>0</v>
      </c>
    </row>
    <row r="510" spans="2:13" ht="22.5">
      <c r="B510" s="15">
        <v>498</v>
      </c>
      <c r="C510" s="15"/>
      <c r="D510" s="21" t="str">
        <f t="shared" si="22"/>
        <v/>
      </c>
      <c r="E510" s="60"/>
      <c r="F510" s="110" t="str">
        <f t="shared" si="23"/>
        <v/>
      </c>
      <c r="G510" s="60"/>
      <c r="H510" s="60"/>
      <c r="I510" s="60"/>
      <c r="J510" s="88"/>
      <c r="K510" s="89"/>
      <c r="L510" s="90"/>
      <c r="M510" s="10" t="b">
        <f t="shared" si="21"/>
        <v>0</v>
      </c>
    </row>
    <row r="511" spans="2:13" ht="22.5">
      <c r="B511" s="15">
        <v>499</v>
      </c>
      <c r="C511" s="15"/>
      <c r="D511" s="21" t="str">
        <f t="shared" si="22"/>
        <v/>
      </c>
      <c r="E511" s="60"/>
      <c r="F511" s="110" t="str">
        <f t="shared" si="23"/>
        <v/>
      </c>
      <c r="G511" s="60"/>
      <c r="H511" s="60"/>
      <c r="I511" s="60"/>
      <c r="J511" s="88"/>
      <c r="K511" s="89"/>
      <c r="L511" s="90"/>
      <c r="M511" s="10" t="b">
        <f t="shared" si="21"/>
        <v>0</v>
      </c>
    </row>
    <row r="512" spans="2:13" ht="23.25" thickBot="1">
      <c r="B512" s="16">
        <v>500</v>
      </c>
      <c r="C512" s="16"/>
      <c r="D512" s="21" t="str">
        <f t="shared" si="22"/>
        <v/>
      </c>
      <c r="E512" s="62"/>
      <c r="F512" s="111" t="str">
        <f t="shared" si="23"/>
        <v/>
      </c>
      <c r="G512" s="62"/>
      <c r="H512" s="62"/>
      <c r="I512" s="62"/>
      <c r="J512" s="91"/>
      <c r="K512" s="92"/>
      <c r="L512" s="93"/>
      <c r="M512" s="10" t="b">
        <f t="shared" si="21"/>
        <v>0</v>
      </c>
    </row>
  </sheetData>
  <sheetProtection algorithmName="SHA-512" hashValue="7uKceAJ5lkaBYMR8DE9VDLh6WoTgM6kZ9MevGvnqZl/neFfi6649MRMRVflOpoginI247uguivsEw9G5/JAlWQ==" saltValue="9NdT+qsct380Mbnx74kehQ==" spinCount="100000" sheet="1" objects="1" scenarios="1" selectLockedCells="1"/>
  <mergeCells count="5">
    <mergeCell ref="K8:L8"/>
    <mergeCell ref="J7:L7"/>
    <mergeCell ref="E7:G7"/>
    <mergeCell ref="E2:Q2"/>
    <mergeCell ref="E4:Q4"/>
  </mergeCells>
  <phoneticPr fontId="1"/>
  <conditionalFormatting sqref="F13:F512">
    <cfRule type="expression" dxfId="14" priority="1">
      <formula>D13=FALSE</formula>
    </cfRule>
  </conditionalFormatting>
  <conditionalFormatting sqref="G13:I512">
    <cfRule type="expression" dxfId="13" priority="8" stopIfTrue="1">
      <formula>ISNUMBER($D13)</formula>
    </cfRule>
  </conditionalFormatting>
  <conditionalFormatting sqref="J13:J512">
    <cfRule type="expression" dxfId="12" priority="6">
      <formula>$D13&lt;&gt;1</formula>
    </cfRule>
    <cfRule type="expression" dxfId="11" priority="11">
      <formula>AND($D13=1,$J13="")</formula>
    </cfRule>
  </conditionalFormatting>
  <conditionalFormatting sqref="K13:K512">
    <cfRule type="expression" dxfId="10" priority="10">
      <formula>AND(($D13=2),($K13=""))</formula>
    </cfRule>
  </conditionalFormatting>
  <conditionalFormatting sqref="K13:L512">
    <cfRule type="expression" dxfId="9" priority="2">
      <formula>$D13&lt;&gt;2</formula>
    </cfRule>
  </conditionalFormatting>
  <conditionalFormatting sqref="L13:L512">
    <cfRule type="expression" dxfId="8" priority="3">
      <formula>AND(($K13="あり"),($L13=""))</formula>
    </cfRule>
    <cfRule type="expression" dxfId="7" priority="5">
      <formula>$K13="なし"</formula>
    </cfRule>
  </conditionalFormatting>
  <dataValidations count="7">
    <dataValidation type="list" allowBlank="1" showInputMessage="1" showErrorMessage="1" errorTitle="エラー" error="1,2,3のいずれかを選択ください" sqref="D10:D12" xr:uid="{1EEB64D9-80E4-4180-8874-D7B63BE963DD}">
      <formula1>"1,2,3"</formula1>
    </dataValidation>
    <dataValidation type="list" allowBlank="1" showInputMessage="1" showErrorMessage="1" sqref="K10:K512" xr:uid="{3CD343B1-5EE4-4F8F-B3F0-CAFA64BF81F7}">
      <formula1>"あり,なし"</formula1>
    </dataValidation>
    <dataValidation type="list" allowBlank="1" showInputMessage="1" showErrorMessage="1" sqref="J10:J512" xr:uid="{0E0791EF-CD30-4C1D-902E-AFA52A93D6CC}">
      <formula1>"希望する,希望しない"</formula1>
    </dataValidation>
    <dataValidation imeMode="disabled" allowBlank="1" showInputMessage="1" showErrorMessage="1" sqref="L10:L12 F13:I512" xr:uid="{34FD487F-60B3-481C-9D33-2CD3FEC2F0F3}"/>
    <dataValidation allowBlank="1" showInputMessage="1" showErrorMessage="1" errorTitle="エラー" error="1,2,3のいずれかを選択ください" sqref="D13:D512" xr:uid="{3F77217D-CBE2-4401-AD8D-6F8E6B48CA5D}"/>
    <dataValidation type="textLength" imeMode="disabled" allowBlank="1" showInputMessage="1" showErrorMessage="1" errorTitle="桁数をご確認ください" error="ご請求番号をハイフン無しで入力ください" sqref="E13:E512" xr:uid="{1BFF6A22-8632-4D60-B4F8-59AEE7DB4E89}">
      <formula1>10</formula1>
      <formula2>12</formula2>
    </dataValidation>
    <dataValidation type="textLength" imeMode="disabled" operator="equal" allowBlank="1" showInputMessage="1" showErrorMessage="1" error="分割番号は2桁で入力ください" sqref="L13:L512" xr:uid="{805C38C7-5C2E-4D51-A4EF-6638165BC0FF}">
      <formula1>2</formula1>
    </dataValidation>
  </dataValidations>
  <hyperlinks>
    <hyperlink ref="E5" r:id="rId1" xr:uid="{C6285F14-E4F1-4BA5-B325-AE8E3FD7B515}"/>
  </hyperlinks>
  <pageMargins left="0.7" right="0.7" top="0.75" bottom="0.75" header="0.3" footer="0.3"/>
  <pageSetup paperSize="9" scale="72" orientation="portrait" r:id="rId2"/>
  <ignoredErrors>
    <ignoredError sqref="E10" numberStoredAsText="1"/>
  </ignoredError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B0E25-6566-43C8-A609-CDDCABF3D66F}">
  <sheetPr>
    <tabColor theme="0"/>
    <pageSetUpPr fitToPage="1"/>
  </sheetPr>
  <dimension ref="A1:AJ50"/>
  <sheetViews>
    <sheetView showGridLines="0" zoomScale="80" zoomScaleNormal="80" zoomScaleSheetLayoutView="90" workbookViewId="0">
      <selection activeCell="K10" sqref="K10:AE10"/>
    </sheetView>
  </sheetViews>
  <sheetFormatPr defaultColWidth="9" defaultRowHeight="13.5"/>
  <cols>
    <col min="1" max="4" width="6.125" style="23" customWidth="1"/>
    <col min="5" max="9" width="3.5" style="23" customWidth="1"/>
    <col min="10" max="10" width="5.125" style="23" customWidth="1"/>
    <col min="11" max="12" width="3.125" style="23" customWidth="1"/>
    <col min="13" max="18" width="3.375" style="23" customWidth="1"/>
    <col min="19" max="28" width="3.125" style="23" customWidth="1"/>
    <col min="29" max="36" width="6.125" style="23" customWidth="1"/>
    <col min="37" max="57" width="3.625" style="23" customWidth="1"/>
    <col min="58" max="16384" width="9" style="23"/>
  </cols>
  <sheetData>
    <row r="1" spans="1:36" ht="13.5" customHeight="1">
      <c r="A1" s="163"/>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row>
    <row r="2" spans="1:36" ht="13.5" customHeight="1">
      <c r="A2" s="163"/>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row>
    <row r="3" spans="1:36" ht="13.5" customHeight="1">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row>
    <row r="4" spans="1:36" ht="13.5" customHeight="1">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row>
    <row r="5" spans="1:36" ht="16.899999999999999"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161" t="s">
        <v>115</v>
      </c>
      <c r="AG5" s="162"/>
      <c r="AH5" s="25" t="s">
        <v>0</v>
      </c>
      <c r="AI5" s="26">
        <v>2.1</v>
      </c>
    </row>
    <row r="6" spans="1:36" ht="49.9" customHeight="1">
      <c r="A6" s="175" t="s">
        <v>204</v>
      </c>
      <c r="B6" s="175"/>
      <c r="C6" s="175"/>
      <c r="D6" s="175"/>
      <c r="E6" s="175"/>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row>
    <row r="7" spans="1:36">
      <c r="A7" s="27"/>
    </row>
    <row r="8" spans="1:36">
      <c r="A8" s="27"/>
    </row>
    <row r="9" spans="1:36" ht="21" customHeight="1" thickBot="1">
      <c r="A9" s="28" t="s">
        <v>1</v>
      </c>
    </row>
    <row r="10" spans="1:36" ht="44.65" customHeight="1">
      <c r="A10" s="169" t="s">
        <v>117</v>
      </c>
      <c r="B10" s="170"/>
      <c r="C10" s="170"/>
      <c r="D10" s="170"/>
      <c r="E10" s="170"/>
      <c r="F10" s="170"/>
      <c r="G10" s="170"/>
      <c r="H10" s="170"/>
      <c r="I10" s="170"/>
      <c r="J10" s="171"/>
      <c r="K10" s="172">
        <v>45082</v>
      </c>
      <c r="L10" s="173"/>
      <c r="M10" s="173"/>
      <c r="N10" s="173"/>
      <c r="O10" s="173"/>
      <c r="P10" s="173"/>
      <c r="Q10" s="173"/>
      <c r="R10" s="173"/>
      <c r="S10" s="173"/>
      <c r="T10" s="173"/>
      <c r="U10" s="173"/>
      <c r="V10" s="173"/>
      <c r="W10" s="173"/>
      <c r="X10" s="173"/>
      <c r="Y10" s="173"/>
      <c r="Z10" s="173"/>
      <c r="AA10" s="173"/>
      <c r="AB10" s="173"/>
      <c r="AC10" s="173"/>
      <c r="AD10" s="173"/>
      <c r="AE10" s="174"/>
      <c r="AF10" s="218" t="s">
        <v>2</v>
      </c>
      <c r="AG10" s="219"/>
      <c r="AH10" s="219"/>
      <c r="AI10" s="219"/>
      <c r="AJ10" s="220"/>
    </row>
    <row r="11" spans="1:36" ht="19.149999999999999" hidden="1" customHeight="1">
      <c r="A11" s="66"/>
      <c r="B11" s="67"/>
      <c r="C11" s="67"/>
      <c r="D11" s="67"/>
      <c r="E11" s="68"/>
      <c r="F11" s="68"/>
      <c r="G11" s="68"/>
      <c r="H11" s="68"/>
      <c r="I11" s="68"/>
      <c r="J11" s="69"/>
      <c r="K11" s="70"/>
      <c r="L11" s="71"/>
      <c r="M11" s="71"/>
      <c r="N11" s="71"/>
      <c r="O11" s="71"/>
      <c r="P11" s="71"/>
      <c r="Q11" s="71"/>
      <c r="R11" s="71"/>
      <c r="S11" s="71"/>
      <c r="T11" s="71"/>
      <c r="U11" s="71"/>
      <c r="V11" s="71"/>
      <c r="W11" s="71"/>
      <c r="X11" s="71"/>
      <c r="Y11" s="71"/>
      <c r="Z11" s="71"/>
      <c r="AA11" s="71"/>
      <c r="AB11" s="71"/>
      <c r="AC11" s="71"/>
      <c r="AD11" s="71"/>
      <c r="AE11" s="72"/>
      <c r="AF11" s="73"/>
      <c r="AG11" s="74"/>
      <c r="AH11" s="74"/>
      <c r="AI11" s="74"/>
      <c r="AJ11" s="75"/>
    </row>
    <row r="12" spans="1:36" ht="22.15" customHeight="1">
      <c r="A12" s="164" t="s">
        <v>118</v>
      </c>
      <c r="B12" s="165"/>
      <c r="C12" s="165"/>
      <c r="D12" s="166"/>
      <c r="E12" s="29" t="s">
        <v>185</v>
      </c>
      <c r="F12" s="30"/>
      <c r="G12" s="30"/>
      <c r="H12" s="30"/>
      <c r="I12" s="30"/>
      <c r="J12" s="31"/>
      <c r="K12" s="250" t="s">
        <v>124</v>
      </c>
      <c r="L12" s="225"/>
      <c r="M12" s="225"/>
      <c r="N12" s="225"/>
      <c r="O12" s="225"/>
      <c r="P12" s="225"/>
      <c r="Q12" s="225"/>
      <c r="R12" s="225"/>
      <c r="S12" s="225"/>
      <c r="T12" s="225"/>
      <c r="U12" s="225"/>
      <c r="V12" s="225"/>
      <c r="W12" s="225"/>
      <c r="X12" s="225"/>
      <c r="Y12" s="225"/>
      <c r="Z12" s="225"/>
      <c r="AA12" s="225"/>
      <c r="AB12" s="225"/>
      <c r="AC12" s="225"/>
      <c r="AD12" s="225"/>
      <c r="AE12" s="226"/>
      <c r="AF12" s="221" t="s">
        <v>4</v>
      </c>
      <c r="AG12" s="222"/>
      <c r="AH12" s="222"/>
      <c r="AI12" s="222"/>
      <c r="AJ12" s="223"/>
    </row>
    <row r="13" spans="1:36" ht="40.15" customHeight="1">
      <c r="A13" s="167"/>
      <c r="B13" s="168"/>
      <c r="C13" s="168"/>
      <c r="D13" s="168"/>
      <c r="E13" s="32"/>
      <c r="F13" s="32"/>
      <c r="G13" s="32"/>
      <c r="H13" s="32"/>
      <c r="I13" s="32"/>
      <c r="J13" s="33"/>
      <c r="K13" s="149" t="s">
        <v>125</v>
      </c>
      <c r="L13" s="150"/>
      <c r="M13" s="150"/>
      <c r="N13" s="150"/>
      <c r="O13" s="150"/>
      <c r="P13" s="150"/>
      <c r="Q13" s="150"/>
      <c r="R13" s="150"/>
      <c r="S13" s="150"/>
      <c r="T13" s="150"/>
      <c r="U13" s="150"/>
      <c r="V13" s="150"/>
      <c r="W13" s="150"/>
      <c r="X13" s="150"/>
      <c r="Y13" s="150"/>
      <c r="Z13" s="150"/>
      <c r="AA13" s="150"/>
      <c r="AB13" s="150"/>
      <c r="AC13" s="150"/>
      <c r="AD13" s="150"/>
      <c r="AE13" s="235"/>
      <c r="AF13" s="221" t="s">
        <v>5</v>
      </c>
      <c r="AG13" s="222"/>
      <c r="AH13" s="222"/>
      <c r="AI13" s="222"/>
      <c r="AJ13" s="223"/>
    </row>
    <row r="14" spans="1:36" ht="24.6" customHeight="1">
      <c r="A14" s="176" t="s">
        <v>138</v>
      </c>
      <c r="B14" s="177"/>
      <c r="C14" s="177"/>
      <c r="D14" s="177"/>
      <c r="E14" s="177"/>
      <c r="F14" s="177"/>
      <c r="G14" s="177"/>
      <c r="H14" s="177"/>
      <c r="I14" s="178"/>
      <c r="J14" s="76" t="s">
        <v>6</v>
      </c>
      <c r="K14" s="150" t="s">
        <v>126</v>
      </c>
      <c r="L14" s="150"/>
      <c r="M14" s="150"/>
      <c r="N14" s="150"/>
      <c r="O14" s="150"/>
      <c r="P14" s="150"/>
      <c r="Q14" s="150"/>
      <c r="R14" s="150"/>
      <c r="S14" s="150"/>
      <c r="T14" s="150"/>
      <c r="U14" s="150"/>
      <c r="V14" s="150"/>
      <c r="W14" s="150"/>
      <c r="X14" s="150"/>
      <c r="Y14" s="150"/>
      <c r="Z14" s="150"/>
      <c r="AA14" s="150"/>
      <c r="AB14" s="150"/>
      <c r="AC14" s="150"/>
      <c r="AD14" s="150"/>
      <c r="AE14" s="235"/>
      <c r="AF14" s="221" t="s">
        <v>7</v>
      </c>
      <c r="AG14" s="222"/>
      <c r="AH14" s="222"/>
      <c r="AI14" s="222"/>
      <c r="AJ14" s="223"/>
    </row>
    <row r="15" spans="1:36" ht="22.15" hidden="1" customHeight="1">
      <c r="B15" s="34"/>
      <c r="C15" s="34"/>
      <c r="D15" s="35"/>
      <c r="E15" s="188"/>
      <c r="F15" s="189"/>
      <c r="G15" s="189"/>
      <c r="H15" s="189"/>
      <c r="I15" s="189"/>
      <c r="J15" s="190"/>
      <c r="K15" s="227"/>
      <c r="L15" s="228"/>
      <c r="M15" s="228"/>
      <c r="N15" s="228"/>
      <c r="O15" s="228"/>
      <c r="P15" s="228"/>
      <c r="Q15" s="228"/>
      <c r="R15" s="228"/>
      <c r="S15" s="228"/>
      <c r="T15" s="228"/>
      <c r="U15" s="228"/>
      <c r="V15" s="228"/>
      <c r="W15" s="228"/>
      <c r="X15" s="228"/>
      <c r="Y15" s="228"/>
      <c r="Z15" s="228"/>
      <c r="AA15" s="228"/>
      <c r="AB15" s="228"/>
      <c r="AC15" s="228"/>
      <c r="AD15" s="228"/>
      <c r="AE15" s="229"/>
      <c r="AF15" s="221"/>
      <c r="AG15" s="222"/>
      <c r="AH15" s="222"/>
      <c r="AI15" s="222"/>
      <c r="AJ15" s="223"/>
    </row>
    <row r="16" spans="1:36" ht="57.6" customHeight="1">
      <c r="A16" s="176" t="s">
        <v>119</v>
      </c>
      <c r="B16" s="177"/>
      <c r="C16" s="177"/>
      <c r="D16" s="178"/>
      <c r="E16" s="182" t="s">
        <v>186</v>
      </c>
      <c r="F16" s="183"/>
      <c r="G16" s="183"/>
      <c r="H16" s="183"/>
      <c r="I16" s="183"/>
      <c r="J16" s="184"/>
      <c r="K16" s="185" t="s">
        <v>127</v>
      </c>
      <c r="L16" s="186"/>
      <c r="M16" s="186"/>
      <c r="N16" s="186"/>
      <c r="O16" s="186"/>
      <c r="P16" s="186"/>
      <c r="Q16" s="186"/>
      <c r="R16" s="186"/>
      <c r="S16" s="186"/>
      <c r="T16" s="186"/>
      <c r="U16" s="186"/>
      <c r="V16" s="186"/>
      <c r="W16" s="186"/>
      <c r="X16" s="186"/>
      <c r="Y16" s="186"/>
      <c r="Z16" s="186"/>
      <c r="AA16" s="186"/>
      <c r="AB16" s="186"/>
      <c r="AC16" s="186"/>
      <c r="AD16" s="186"/>
      <c r="AE16" s="187"/>
      <c r="AF16" s="212" t="s">
        <v>84</v>
      </c>
      <c r="AG16" s="213"/>
      <c r="AH16" s="213"/>
      <c r="AI16" s="213"/>
      <c r="AJ16" s="214"/>
    </row>
    <row r="17" spans="1:36" ht="57.6" customHeight="1">
      <c r="A17" s="179"/>
      <c r="B17" s="180"/>
      <c r="C17" s="180"/>
      <c r="D17" s="181"/>
      <c r="E17" s="182" t="s">
        <v>120</v>
      </c>
      <c r="F17" s="183"/>
      <c r="G17" s="183"/>
      <c r="H17" s="183"/>
      <c r="I17" s="183"/>
      <c r="J17" s="184"/>
      <c r="K17" s="185" t="s">
        <v>128</v>
      </c>
      <c r="L17" s="186"/>
      <c r="M17" s="186"/>
      <c r="N17" s="186"/>
      <c r="O17" s="186"/>
      <c r="P17" s="186"/>
      <c r="Q17" s="186"/>
      <c r="R17" s="186"/>
      <c r="S17" s="186"/>
      <c r="T17" s="186"/>
      <c r="U17" s="186"/>
      <c r="V17" s="186"/>
      <c r="W17" s="186"/>
      <c r="X17" s="186"/>
      <c r="Y17" s="186"/>
      <c r="Z17" s="186"/>
      <c r="AA17" s="186"/>
      <c r="AB17" s="186"/>
      <c r="AC17" s="186"/>
      <c r="AD17" s="186"/>
      <c r="AE17" s="187"/>
      <c r="AF17" s="212" t="s">
        <v>85</v>
      </c>
      <c r="AG17" s="213"/>
      <c r="AH17" s="213"/>
      <c r="AI17" s="213"/>
      <c r="AJ17" s="214"/>
    </row>
    <row r="18" spans="1:36" ht="27.6" customHeight="1">
      <c r="A18" s="119" t="s">
        <v>8</v>
      </c>
      <c r="B18" s="120"/>
      <c r="C18" s="120"/>
      <c r="D18" s="120"/>
      <c r="E18" s="146" t="s">
        <v>187</v>
      </c>
      <c r="F18" s="147"/>
      <c r="G18" s="147"/>
      <c r="H18" s="147"/>
      <c r="I18" s="147"/>
      <c r="J18" s="148"/>
      <c r="K18" s="150" t="s">
        <v>129</v>
      </c>
      <c r="L18" s="150"/>
      <c r="M18" s="150"/>
      <c r="N18" s="150"/>
      <c r="O18" s="150"/>
      <c r="P18" s="150"/>
      <c r="Q18" s="150"/>
      <c r="R18" s="150"/>
      <c r="S18" s="150"/>
      <c r="T18" s="150"/>
      <c r="U18" s="150"/>
      <c r="V18" s="150"/>
      <c r="W18" s="150"/>
      <c r="X18" s="150"/>
      <c r="Y18" s="150"/>
      <c r="Z18" s="150"/>
      <c r="AA18" s="150"/>
      <c r="AB18" s="150"/>
      <c r="AC18" s="150"/>
      <c r="AD18" s="150"/>
      <c r="AE18" s="150"/>
      <c r="AF18" s="150"/>
      <c r="AG18" s="150"/>
      <c r="AH18" s="150"/>
      <c r="AI18" s="150"/>
      <c r="AJ18" s="151"/>
    </row>
    <row r="19" spans="1:36" ht="25.15" customHeight="1">
      <c r="A19" s="121"/>
      <c r="B19" s="122"/>
      <c r="C19" s="122"/>
      <c r="D19" s="122"/>
      <c r="E19" s="29" t="s">
        <v>3</v>
      </c>
      <c r="F19" s="36"/>
      <c r="G19" s="37"/>
      <c r="H19" s="36"/>
      <c r="I19" s="36"/>
      <c r="J19" s="38"/>
      <c r="K19" s="246" t="s">
        <v>130</v>
      </c>
      <c r="L19" s="153"/>
      <c r="M19" s="153"/>
      <c r="N19" s="153"/>
      <c r="O19" s="153"/>
      <c r="P19" s="153"/>
      <c r="Q19" s="153"/>
      <c r="R19" s="153"/>
      <c r="S19" s="153"/>
      <c r="T19" s="153"/>
      <c r="U19" s="153"/>
      <c r="V19" s="153"/>
      <c r="W19" s="153"/>
      <c r="X19" s="153"/>
      <c r="Y19" s="153"/>
      <c r="Z19" s="153"/>
      <c r="AA19" s="153"/>
      <c r="AB19" s="153"/>
      <c r="AC19" s="153"/>
      <c r="AD19" s="153"/>
      <c r="AE19" s="153"/>
      <c r="AF19" s="153"/>
      <c r="AG19" s="153"/>
      <c r="AH19" s="153"/>
      <c r="AI19" s="153"/>
      <c r="AJ19" s="154"/>
    </row>
    <row r="20" spans="1:36" ht="32.65" customHeight="1">
      <c r="A20" s="121"/>
      <c r="B20" s="122"/>
      <c r="C20" s="122"/>
      <c r="D20" s="122"/>
      <c r="E20" s="39" t="s">
        <v>9</v>
      </c>
      <c r="F20" s="40"/>
      <c r="G20" s="41"/>
      <c r="H20" s="41"/>
      <c r="I20" s="41"/>
      <c r="J20" s="42"/>
      <c r="K20" s="247" t="s">
        <v>131</v>
      </c>
      <c r="L20" s="156"/>
      <c r="M20" s="156"/>
      <c r="N20" s="156"/>
      <c r="O20" s="156"/>
      <c r="P20" s="156"/>
      <c r="Q20" s="156"/>
      <c r="R20" s="156"/>
      <c r="S20" s="156"/>
      <c r="T20" s="156"/>
      <c r="U20" s="156"/>
      <c r="V20" s="156"/>
      <c r="W20" s="156"/>
      <c r="X20" s="156"/>
      <c r="Y20" s="156"/>
      <c r="Z20" s="156"/>
      <c r="AA20" s="156"/>
      <c r="AB20" s="156"/>
      <c r="AC20" s="156"/>
      <c r="AD20" s="156"/>
      <c r="AE20" s="156"/>
      <c r="AF20" s="156"/>
      <c r="AG20" s="156"/>
      <c r="AH20" s="156"/>
      <c r="AI20" s="156"/>
      <c r="AJ20" s="157"/>
    </row>
    <row r="21" spans="1:36" ht="25.15" customHeight="1">
      <c r="A21" s="121"/>
      <c r="B21" s="122"/>
      <c r="C21" s="122"/>
      <c r="D21" s="122"/>
      <c r="E21" s="29" t="s">
        <v>185</v>
      </c>
      <c r="F21" s="36"/>
      <c r="G21" s="36"/>
      <c r="H21" s="36"/>
      <c r="I21" s="36"/>
      <c r="J21" s="38"/>
      <c r="K21" s="248" t="s">
        <v>132</v>
      </c>
      <c r="L21" s="159"/>
      <c r="M21" s="159"/>
      <c r="N21" s="159"/>
      <c r="O21" s="159"/>
      <c r="P21" s="159"/>
      <c r="Q21" s="159"/>
      <c r="R21" s="159"/>
      <c r="S21" s="159"/>
      <c r="T21" s="159"/>
      <c r="U21" s="159"/>
      <c r="V21" s="159"/>
      <c r="W21" s="159"/>
      <c r="X21" s="159"/>
      <c r="Y21" s="159"/>
      <c r="Z21" s="159"/>
      <c r="AA21" s="159"/>
      <c r="AB21" s="159"/>
      <c r="AC21" s="159"/>
      <c r="AD21" s="159"/>
      <c r="AE21" s="159"/>
      <c r="AF21" s="159"/>
      <c r="AG21" s="159"/>
      <c r="AH21" s="159"/>
      <c r="AI21" s="159"/>
      <c r="AJ21" s="160"/>
    </row>
    <row r="22" spans="1:36" ht="40.9" customHeight="1" thickBot="1">
      <c r="A22" s="123"/>
      <c r="B22" s="124"/>
      <c r="C22" s="124"/>
      <c r="D22" s="124"/>
      <c r="E22" s="43" t="s">
        <v>188</v>
      </c>
      <c r="F22" s="44"/>
      <c r="G22" s="44"/>
      <c r="H22" s="44"/>
      <c r="I22" s="44"/>
      <c r="J22" s="45"/>
      <c r="K22" s="249" t="s">
        <v>133</v>
      </c>
      <c r="L22" s="231"/>
      <c r="M22" s="231"/>
      <c r="N22" s="231"/>
      <c r="O22" s="231"/>
      <c r="P22" s="231"/>
      <c r="Q22" s="231"/>
      <c r="R22" s="231"/>
      <c r="S22" s="231"/>
      <c r="T22" s="231"/>
      <c r="U22" s="231"/>
      <c r="V22" s="231"/>
      <c r="W22" s="231"/>
      <c r="X22" s="231"/>
      <c r="Y22" s="231"/>
      <c r="Z22" s="231"/>
      <c r="AA22" s="231"/>
      <c r="AB22" s="231"/>
      <c r="AC22" s="231"/>
      <c r="AD22" s="231"/>
      <c r="AE22" s="231"/>
      <c r="AF22" s="231"/>
      <c r="AG22" s="231"/>
      <c r="AH22" s="231"/>
      <c r="AI22" s="231"/>
      <c r="AJ22" s="232"/>
    </row>
    <row r="23" spans="1:36">
      <c r="A23" s="46"/>
      <c r="B23" s="46"/>
      <c r="C23" s="46"/>
      <c r="D23" s="46"/>
      <c r="E23" s="46"/>
      <c r="F23" s="46"/>
      <c r="G23" s="46"/>
      <c r="H23" s="46"/>
      <c r="I23" s="46"/>
      <c r="J23" s="46"/>
      <c r="K23" s="233"/>
      <c r="L23" s="233"/>
      <c r="M23" s="233"/>
      <c r="N23" s="233"/>
      <c r="O23" s="233"/>
      <c r="P23" s="233"/>
      <c r="Q23" s="233"/>
      <c r="R23" s="233"/>
      <c r="S23" s="233"/>
      <c r="T23" s="233"/>
      <c r="U23" s="233"/>
      <c r="V23" s="233"/>
      <c r="W23" s="233"/>
      <c r="X23" s="233"/>
      <c r="Y23" s="233"/>
      <c r="Z23" s="233"/>
      <c r="AA23" s="233"/>
      <c r="AB23" s="233"/>
      <c r="AC23" s="233"/>
      <c r="AD23" s="233"/>
      <c r="AE23" s="233"/>
      <c r="AF23" s="233"/>
      <c r="AG23" s="233"/>
      <c r="AH23" s="233"/>
      <c r="AI23" s="233"/>
      <c r="AJ23" s="233"/>
    </row>
    <row r="24" spans="1:36" ht="21" customHeight="1" thickBot="1">
      <c r="A24" s="28" t="s">
        <v>10</v>
      </c>
      <c r="K24" s="234"/>
      <c r="L24" s="234"/>
      <c r="M24" s="234"/>
      <c r="N24" s="234"/>
      <c r="O24" s="234"/>
      <c r="P24" s="234"/>
      <c r="Q24" s="234"/>
      <c r="R24" s="234"/>
      <c r="S24" s="234"/>
      <c r="T24" s="234"/>
      <c r="U24" s="234"/>
      <c r="V24" s="234"/>
      <c r="W24" s="234"/>
      <c r="X24" s="234"/>
      <c r="Y24" s="234"/>
      <c r="Z24" s="234"/>
      <c r="AA24" s="234"/>
      <c r="AB24" s="234"/>
      <c r="AC24" s="234"/>
      <c r="AD24" s="234"/>
      <c r="AE24" s="234"/>
      <c r="AF24" s="234"/>
      <c r="AG24" s="234"/>
      <c r="AH24" s="234"/>
      <c r="AI24" s="234"/>
      <c r="AJ24" s="234"/>
    </row>
    <row r="25" spans="1:36" ht="54.6" customHeight="1">
      <c r="A25" s="128" t="s">
        <v>139</v>
      </c>
      <c r="B25" s="129"/>
      <c r="C25" s="129"/>
      <c r="D25" s="129"/>
      <c r="E25" s="129"/>
      <c r="F25" s="129"/>
      <c r="G25" s="129"/>
      <c r="H25" s="129"/>
      <c r="I25" s="129"/>
      <c r="J25" s="130"/>
      <c r="K25" s="243" t="s">
        <v>135</v>
      </c>
      <c r="L25" s="244"/>
      <c r="M25" s="244"/>
      <c r="N25" s="244"/>
      <c r="O25" s="244"/>
      <c r="P25" s="244"/>
      <c r="Q25" s="244"/>
      <c r="R25" s="244"/>
      <c r="S25" s="244"/>
      <c r="T25" s="244"/>
      <c r="U25" s="244"/>
      <c r="V25" s="244"/>
      <c r="W25" s="244"/>
      <c r="X25" s="244"/>
      <c r="Y25" s="244"/>
      <c r="Z25" s="244"/>
      <c r="AA25" s="244"/>
      <c r="AB25" s="245"/>
      <c r="AC25" s="215" t="s">
        <v>116</v>
      </c>
      <c r="AD25" s="216"/>
      <c r="AE25" s="216"/>
      <c r="AF25" s="216"/>
      <c r="AG25" s="216"/>
      <c r="AH25" s="216"/>
      <c r="AI25" s="216"/>
      <c r="AJ25" s="217"/>
    </row>
    <row r="26" spans="1:36" ht="58.9" customHeight="1">
      <c r="A26" s="131" t="s">
        <v>11</v>
      </c>
      <c r="B26" s="132"/>
      <c r="C26" s="132"/>
      <c r="D26" s="132"/>
      <c r="E26" s="132"/>
      <c r="F26" s="132"/>
      <c r="G26" s="132"/>
      <c r="H26" s="132"/>
      <c r="I26" s="132"/>
      <c r="J26" s="133"/>
      <c r="K26" s="140" t="s">
        <v>136</v>
      </c>
      <c r="L26" s="141"/>
      <c r="M26" s="141"/>
      <c r="N26" s="141"/>
      <c r="O26" s="141"/>
      <c r="P26" s="141"/>
      <c r="Q26" s="141"/>
      <c r="R26" s="141"/>
      <c r="S26" s="141"/>
      <c r="T26" s="141"/>
      <c r="U26" s="141"/>
      <c r="V26" s="141"/>
      <c r="W26" s="141"/>
      <c r="X26" s="141"/>
      <c r="Y26" s="141"/>
      <c r="Z26" s="141"/>
      <c r="AA26" s="141"/>
      <c r="AB26" s="142"/>
      <c r="AC26" s="212" t="s">
        <v>12</v>
      </c>
      <c r="AD26" s="213"/>
      <c r="AE26" s="213"/>
      <c r="AF26" s="213"/>
      <c r="AG26" s="213"/>
      <c r="AH26" s="213"/>
      <c r="AI26" s="213"/>
      <c r="AJ26" s="214"/>
    </row>
    <row r="27" spans="1:36" ht="54.6" customHeight="1" thickBot="1">
      <c r="A27" s="134" t="s">
        <v>13</v>
      </c>
      <c r="B27" s="135"/>
      <c r="C27" s="135"/>
      <c r="D27" s="135"/>
      <c r="E27" s="135"/>
      <c r="F27" s="135"/>
      <c r="G27" s="135"/>
      <c r="H27" s="135"/>
      <c r="I27" s="135"/>
      <c r="J27" s="136"/>
      <c r="K27" s="143" t="s">
        <v>134</v>
      </c>
      <c r="L27" s="144"/>
      <c r="M27" s="144"/>
      <c r="N27" s="144"/>
      <c r="O27" s="144"/>
      <c r="P27" s="144"/>
      <c r="Q27" s="144"/>
      <c r="R27" s="144"/>
      <c r="S27" s="144"/>
      <c r="T27" s="144"/>
      <c r="U27" s="144"/>
      <c r="V27" s="144"/>
      <c r="W27" s="144"/>
      <c r="X27" s="144"/>
      <c r="Y27" s="144"/>
      <c r="Z27" s="144"/>
      <c r="AA27" s="144"/>
      <c r="AB27" s="145"/>
      <c r="AC27" s="125" t="s">
        <v>14</v>
      </c>
      <c r="AD27" s="126"/>
      <c r="AE27" s="126"/>
      <c r="AF27" s="126"/>
      <c r="AG27" s="126"/>
      <c r="AH27" s="126"/>
      <c r="AI27" s="126"/>
      <c r="AJ27" s="127"/>
    </row>
    <row r="28" spans="1:36">
      <c r="A28" s="47"/>
      <c r="B28" s="47"/>
      <c r="C28" s="47"/>
      <c r="D28" s="47"/>
      <c r="E28" s="48"/>
      <c r="F28" s="48"/>
      <c r="G28" s="48"/>
      <c r="H28" s="48"/>
      <c r="I28" s="48"/>
      <c r="J28" s="48"/>
      <c r="K28" s="48"/>
      <c r="L28" s="48"/>
      <c r="M28" s="48"/>
      <c r="N28" s="48"/>
      <c r="O28" s="48"/>
      <c r="P28" s="48"/>
      <c r="Q28" s="48"/>
      <c r="R28" s="48"/>
      <c r="S28" s="48"/>
      <c r="T28" s="48"/>
      <c r="U28" s="48"/>
      <c r="V28" s="48"/>
      <c r="W28" s="48"/>
      <c r="X28" s="48"/>
      <c r="Y28" s="48"/>
      <c r="Z28" s="48"/>
      <c r="AA28" s="48"/>
      <c r="AB28" s="48"/>
      <c r="AC28" s="49"/>
      <c r="AD28" s="49"/>
      <c r="AE28" s="49"/>
      <c r="AF28" s="49"/>
      <c r="AG28" s="49"/>
      <c r="AH28" s="49"/>
      <c r="AI28" s="49"/>
      <c r="AJ28" s="49"/>
    </row>
    <row r="29" spans="1:36" ht="15" customHeight="1"/>
    <row r="30" spans="1:36" ht="25.9" customHeight="1"/>
    <row r="31" spans="1:36" ht="28.9" customHeight="1">
      <c r="G31" s="50"/>
    </row>
    <row r="32" spans="1:36" ht="28.9" customHeight="1">
      <c r="G32" s="50"/>
    </row>
    <row r="33" spans="1:28" ht="28.9" customHeight="1">
      <c r="G33" s="50"/>
    </row>
    <row r="34" spans="1:28">
      <c r="A34" s="50"/>
    </row>
    <row r="35" spans="1:28">
      <c r="A35" s="50"/>
    </row>
    <row r="36" spans="1:28">
      <c r="A36" s="50"/>
    </row>
    <row r="38" spans="1:28">
      <c r="A38" s="23" t="s">
        <v>15</v>
      </c>
    </row>
    <row r="39" spans="1:28" ht="13.15" customHeight="1">
      <c r="A39" s="203" t="s">
        <v>16</v>
      </c>
      <c r="B39" s="203"/>
      <c r="C39" s="51"/>
      <c r="D39" s="52"/>
      <c r="E39" s="191" t="s">
        <v>17</v>
      </c>
      <c r="F39" s="192"/>
      <c r="G39" s="192"/>
      <c r="H39" s="192"/>
      <c r="I39" s="192"/>
      <c r="J39" s="192"/>
      <c r="K39" s="192"/>
      <c r="L39" s="193"/>
      <c r="M39" s="197"/>
      <c r="N39" s="198"/>
      <c r="O39" s="198"/>
      <c r="P39" s="198"/>
      <c r="Q39" s="198"/>
      <c r="R39" s="198"/>
      <c r="S39" s="198"/>
      <c r="T39" s="198"/>
      <c r="U39" s="198"/>
      <c r="V39" s="198"/>
      <c r="W39" s="198"/>
      <c r="X39" s="198"/>
      <c r="Y39" s="198"/>
      <c r="Z39" s="198"/>
      <c r="AA39" s="198"/>
      <c r="AB39" s="199"/>
    </row>
    <row r="40" spans="1:28" ht="13.15" customHeight="1">
      <c r="A40" s="204"/>
      <c r="B40" s="204"/>
      <c r="C40" s="28"/>
      <c r="D40" s="53"/>
      <c r="E40" s="194"/>
      <c r="F40" s="195"/>
      <c r="G40" s="195"/>
      <c r="H40" s="195"/>
      <c r="I40" s="195"/>
      <c r="J40" s="195"/>
      <c r="K40" s="195"/>
      <c r="L40" s="196"/>
      <c r="M40" s="200"/>
      <c r="N40" s="201"/>
      <c r="O40" s="201"/>
      <c r="P40" s="201"/>
      <c r="Q40" s="201"/>
      <c r="R40" s="201"/>
      <c r="S40" s="201"/>
      <c r="T40" s="201"/>
      <c r="U40" s="201"/>
      <c r="V40" s="201"/>
      <c r="W40" s="201"/>
      <c r="X40" s="201"/>
      <c r="Y40" s="201"/>
      <c r="Z40" s="201"/>
      <c r="AA40" s="201"/>
      <c r="AB40" s="202"/>
    </row>
    <row r="41" spans="1:28" ht="13.5" customHeight="1">
      <c r="A41" s="204"/>
      <c r="B41" s="204"/>
      <c r="C41" s="28"/>
      <c r="D41" s="53"/>
      <c r="E41" s="191" t="s">
        <v>18</v>
      </c>
      <c r="F41" s="192"/>
      <c r="G41" s="192"/>
      <c r="H41" s="192"/>
      <c r="I41" s="192"/>
      <c r="J41" s="192"/>
      <c r="K41" s="192"/>
      <c r="L41" s="193"/>
      <c r="M41" s="197"/>
      <c r="N41" s="198"/>
      <c r="O41" s="198"/>
      <c r="P41" s="198"/>
      <c r="Q41" s="198"/>
      <c r="R41" s="198"/>
      <c r="S41" s="198"/>
      <c r="T41" s="198"/>
      <c r="U41" s="198"/>
      <c r="V41" s="198"/>
      <c r="W41" s="198"/>
      <c r="X41" s="198"/>
      <c r="Y41" s="198"/>
      <c r="Z41" s="198"/>
      <c r="AA41" s="198"/>
      <c r="AB41" s="199"/>
    </row>
    <row r="42" spans="1:28" ht="13.15" customHeight="1">
      <c r="A42" s="204"/>
      <c r="B42" s="204"/>
      <c r="C42" s="28"/>
      <c r="D42" s="53"/>
      <c r="E42" s="194"/>
      <c r="F42" s="195"/>
      <c r="G42" s="195"/>
      <c r="H42" s="195"/>
      <c r="I42" s="195"/>
      <c r="J42" s="195"/>
      <c r="K42" s="195"/>
      <c r="L42" s="196"/>
      <c r="M42" s="200"/>
      <c r="N42" s="201"/>
      <c r="O42" s="201"/>
      <c r="P42" s="201"/>
      <c r="Q42" s="201"/>
      <c r="R42" s="201"/>
      <c r="S42" s="201"/>
      <c r="T42" s="201"/>
      <c r="U42" s="201"/>
      <c r="V42" s="201"/>
      <c r="W42" s="201"/>
      <c r="X42" s="201"/>
      <c r="Y42" s="201"/>
      <c r="Z42" s="201"/>
      <c r="AA42" s="201"/>
      <c r="AB42" s="202"/>
    </row>
    <row r="43" spans="1:28" ht="13.15" customHeight="1">
      <c r="A43" s="204"/>
      <c r="B43" s="204"/>
      <c r="C43" s="206" t="s">
        <v>19</v>
      </c>
      <c r="D43" s="207"/>
      <c r="E43" s="191" t="s">
        <v>20</v>
      </c>
      <c r="F43" s="192"/>
      <c r="G43" s="192"/>
      <c r="H43" s="192"/>
      <c r="I43" s="192"/>
      <c r="J43" s="192"/>
      <c r="K43" s="192"/>
      <c r="L43" s="193"/>
      <c r="M43" s="197"/>
      <c r="N43" s="198"/>
      <c r="O43" s="198"/>
      <c r="P43" s="198"/>
      <c r="Q43" s="198"/>
      <c r="R43" s="198"/>
      <c r="S43" s="198"/>
      <c r="T43" s="198"/>
      <c r="U43" s="198"/>
      <c r="V43" s="198"/>
      <c r="W43" s="198"/>
      <c r="X43" s="198"/>
      <c r="Y43" s="198"/>
      <c r="Z43" s="198"/>
      <c r="AA43" s="198"/>
      <c r="AB43" s="199"/>
    </row>
    <row r="44" spans="1:28" ht="13.15" customHeight="1">
      <c r="A44" s="204"/>
      <c r="B44" s="204"/>
      <c r="C44" s="208"/>
      <c r="D44" s="209"/>
      <c r="E44" s="194"/>
      <c r="F44" s="195"/>
      <c r="G44" s="195"/>
      <c r="H44" s="195"/>
      <c r="I44" s="195"/>
      <c r="J44" s="195"/>
      <c r="K44" s="195"/>
      <c r="L44" s="196"/>
      <c r="M44" s="200"/>
      <c r="N44" s="201"/>
      <c r="O44" s="201"/>
      <c r="P44" s="201"/>
      <c r="Q44" s="201"/>
      <c r="R44" s="201"/>
      <c r="S44" s="201"/>
      <c r="T44" s="201"/>
      <c r="U44" s="201"/>
      <c r="V44" s="201"/>
      <c r="W44" s="201"/>
      <c r="X44" s="201"/>
      <c r="Y44" s="201"/>
      <c r="Z44" s="201"/>
      <c r="AA44" s="201"/>
      <c r="AB44" s="202"/>
    </row>
    <row r="45" spans="1:28" ht="13.15" customHeight="1">
      <c r="A45" s="204"/>
      <c r="B45" s="204"/>
      <c r="C45" s="208"/>
      <c r="D45" s="209"/>
      <c r="E45" s="191" t="s">
        <v>21</v>
      </c>
      <c r="F45" s="192"/>
      <c r="G45" s="192"/>
      <c r="H45" s="192"/>
      <c r="I45" s="192"/>
      <c r="J45" s="192"/>
      <c r="K45" s="192"/>
      <c r="L45" s="193"/>
      <c r="M45" s="197"/>
      <c r="N45" s="198"/>
      <c r="O45" s="198"/>
      <c r="P45" s="198"/>
      <c r="Q45" s="198"/>
      <c r="R45" s="198"/>
      <c r="S45" s="198"/>
      <c r="T45" s="198"/>
      <c r="U45" s="198"/>
      <c r="V45" s="198"/>
      <c r="W45" s="198"/>
      <c r="X45" s="198"/>
      <c r="Y45" s="198"/>
      <c r="Z45" s="198"/>
      <c r="AA45" s="198"/>
      <c r="AB45" s="199"/>
    </row>
    <row r="46" spans="1:28" ht="13.15" customHeight="1">
      <c r="A46" s="204"/>
      <c r="B46" s="204"/>
      <c r="C46" s="208"/>
      <c r="D46" s="209"/>
      <c r="E46" s="194"/>
      <c r="F46" s="195"/>
      <c r="G46" s="195"/>
      <c r="H46" s="195"/>
      <c r="I46" s="195"/>
      <c r="J46" s="195"/>
      <c r="K46" s="195"/>
      <c r="L46" s="196"/>
      <c r="M46" s="200"/>
      <c r="N46" s="201"/>
      <c r="O46" s="201"/>
      <c r="P46" s="201"/>
      <c r="Q46" s="201"/>
      <c r="R46" s="201"/>
      <c r="S46" s="201"/>
      <c r="T46" s="201"/>
      <c r="U46" s="201"/>
      <c r="V46" s="201"/>
      <c r="W46" s="201"/>
      <c r="X46" s="201"/>
      <c r="Y46" s="201"/>
      <c r="Z46" s="201"/>
      <c r="AA46" s="201"/>
      <c r="AB46" s="202"/>
    </row>
    <row r="47" spans="1:28" ht="13.15" customHeight="1">
      <c r="A47" s="204"/>
      <c r="B47" s="204"/>
      <c r="C47" s="208"/>
      <c r="D47" s="209"/>
      <c r="E47" s="191" t="s">
        <v>22</v>
      </c>
      <c r="F47" s="192"/>
      <c r="G47" s="192"/>
      <c r="H47" s="192"/>
      <c r="I47" s="192"/>
      <c r="J47" s="192"/>
      <c r="K47" s="192"/>
      <c r="L47" s="193"/>
      <c r="M47" s="197"/>
      <c r="N47" s="198"/>
      <c r="O47" s="198"/>
      <c r="P47" s="198"/>
      <c r="Q47" s="198"/>
      <c r="R47" s="198"/>
      <c r="S47" s="198"/>
      <c r="T47" s="198"/>
      <c r="U47" s="198"/>
      <c r="V47" s="198"/>
      <c r="W47" s="198"/>
      <c r="X47" s="198"/>
      <c r="Y47" s="198"/>
      <c r="Z47" s="198"/>
      <c r="AA47" s="198"/>
      <c r="AB47" s="199"/>
    </row>
    <row r="48" spans="1:28" ht="13.15" customHeight="1">
      <c r="A48" s="204"/>
      <c r="B48" s="204"/>
      <c r="C48" s="208"/>
      <c r="D48" s="209"/>
      <c r="E48" s="194"/>
      <c r="F48" s="195"/>
      <c r="G48" s="195"/>
      <c r="H48" s="195"/>
      <c r="I48" s="195"/>
      <c r="J48" s="195"/>
      <c r="K48" s="195"/>
      <c r="L48" s="196"/>
      <c r="M48" s="200"/>
      <c r="N48" s="201"/>
      <c r="O48" s="201"/>
      <c r="P48" s="201"/>
      <c r="Q48" s="201"/>
      <c r="R48" s="201"/>
      <c r="S48" s="201"/>
      <c r="T48" s="201"/>
      <c r="U48" s="201"/>
      <c r="V48" s="201"/>
      <c r="W48" s="201"/>
      <c r="X48" s="201"/>
      <c r="Y48" s="201"/>
      <c r="Z48" s="201"/>
      <c r="AA48" s="201"/>
      <c r="AB48" s="202"/>
    </row>
    <row r="49" spans="1:28" ht="13.15" customHeight="1">
      <c r="A49" s="204"/>
      <c r="B49" s="204"/>
      <c r="C49" s="208"/>
      <c r="D49" s="209"/>
      <c r="E49" s="191" t="s">
        <v>23</v>
      </c>
      <c r="F49" s="192"/>
      <c r="G49" s="192"/>
      <c r="H49" s="192"/>
      <c r="I49" s="192"/>
      <c r="J49" s="192"/>
      <c r="K49" s="192"/>
      <c r="L49" s="193"/>
      <c r="M49" s="197"/>
      <c r="N49" s="198"/>
      <c r="O49" s="198"/>
      <c r="P49" s="198"/>
      <c r="Q49" s="198"/>
      <c r="R49" s="198"/>
      <c r="S49" s="198"/>
      <c r="T49" s="198"/>
      <c r="U49" s="198"/>
      <c r="V49" s="198"/>
      <c r="W49" s="198"/>
      <c r="X49" s="198"/>
      <c r="Y49" s="198"/>
      <c r="Z49" s="198"/>
      <c r="AA49" s="198"/>
      <c r="AB49" s="199"/>
    </row>
    <row r="50" spans="1:28" ht="13.15" customHeight="1">
      <c r="A50" s="205"/>
      <c r="B50" s="205"/>
      <c r="C50" s="210"/>
      <c r="D50" s="211"/>
      <c r="E50" s="194"/>
      <c r="F50" s="195"/>
      <c r="G50" s="195"/>
      <c r="H50" s="195"/>
      <c r="I50" s="195"/>
      <c r="J50" s="195"/>
      <c r="K50" s="195"/>
      <c r="L50" s="196"/>
      <c r="M50" s="200"/>
      <c r="N50" s="201"/>
      <c r="O50" s="201"/>
      <c r="P50" s="201"/>
      <c r="Q50" s="201"/>
      <c r="R50" s="201"/>
      <c r="S50" s="201"/>
      <c r="T50" s="201"/>
      <c r="U50" s="201"/>
      <c r="V50" s="201"/>
      <c r="W50" s="201"/>
      <c r="X50" s="201"/>
      <c r="Y50" s="201"/>
      <c r="Z50" s="201"/>
      <c r="AA50" s="201"/>
      <c r="AB50" s="202"/>
    </row>
  </sheetData>
  <sheetProtection algorithmName="SHA-512" hashValue="0blqcyBZJeoxGMmlituCf5axvBM0CLzwkZ1QVI99M/4+p0M3+ykC7iY5OhxjBYsziMzjJe9ajWd+0F5WRHxLtA==" saltValue="h882sRxq6NHgEXV0/nuRdQ==" spinCount="100000" sheet="1" selectLockedCells="1"/>
  <mergeCells count="55">
    <mergeCell ref="K14:AE14"/>
    <mergeCell ref="AF14:AJ14"/>
    <mergeCell ref="A1:AE2"/>
    <mergeCell ref="AF5:AG5"/>
    <mergeCell ref="A6:AD6"/>
    <mergeCell ref="A10:J10"/>
    <mergeCell ref="K10:AE10"/>
    <mergeCell ref="AF10:AJ10"/>
    <mergeCell ref="A12:D13"/>
    <mergeCell ref="K12:AE12"/>
    <mergeCell ref="AF12:AJ12"/>
    <mergeCell ref="K13:AE13"/>
    <mergeCell ref="AF13:AJ13"/>
    <mergeCell ref="A14:I14"/>
    <mergeCell ref="E15:J15"/>
    <mergeCell ref="K15:AE15"/>
    <mergeCell ref="AF15:AJ15"/>
    <mergeCell ref="A16:D17"/>
    <mergeCell ref="E16:J16"/>
    <mergeCell ref="K16:AE16"/>
    <mergeCell ref="AF16:AJ16"/>
    <mergeCell ref="E17:J17"/>
    <mergeCell ref="K17:AE17"/>
    <mergeCell ref="AF17:AJ17"/>
    <mergeCell ref="A18:D22"/>
    <mergeCell ref="E18:J18"/>
    <mergeCell ref="K18:AJ18"/>
    <mergeCell ref="K19:AJ19"/>
    <mergeCell ref="K20:AJ20"/>
    <mergeCell ref="K21:AJ21"/>
    <mergeCell ref="K22:AJ22"/>
    <mergeCell ref="A27:J27"/>
    <mergeCell ref="K23:AJ24"/>
    <mergeCell ref="A25:J25"/>
    <mergeCell ref="K25:AB25"/>
    <mergeCell ref="AC25:AJ25"/>
    <mergeCell ref="A26:J26"/>
    <mergeCell ref="K26:AB26"/>
    <mergeCell ref="AC26:AJ26"/>
    <mergeCell ref="K27:AB27"/>
    <mergeCell ref="AC27:AJ27"/>
    <mergeCell ref="A39:B50"/>
    <mergeCell ref="E39:L40"/>
    <mergeCell ref="M39:AB40"/>
    <mergeCell ref="E41:L42"/>
    <mergeCell ref="M41:AB42"/>
    <mergeCell ref="C43:D50"/>
    <mergeCell ref="E43:L44"/>
    <mergeCell ref="M43:AB44"/>
    <mergeCell ref="E45:L46"/>
    <mergeCell ref="M45:AB46"/>
    <mergeCell ref="E47:L48"/>
    <mergeCell ref="M47:AB48"/>
    <mergeCell ref="E49:L50"/>
    <mergeCell ref="M49:AB50"/>
  </mergeCells>
  <phoneticPr fontId="1"/>
  <dataValidations count="13">
    <dataValidation type="list" allowBlank="1" showInputMessage="1" showErrorMessage="1" errorTitle="必須" error="csvか固定長のどちらかを選択してください（エクセル利用の場合はcsv）" sqref="K27:AB27" xr:uid="{8D21DE3B-7133-484F-ACB7-BFF1C5DA1852}">
      <formula1>"csv,固定長"</formula1>
    </dataValidation>
    <dataValidation type="custom" imeMode="hiragana" allowBlank="1" showInputMessage="1" showErrorMessage="1" error="20文字以内で記入ください" sqref="K20:AJ20" xr:uid="{DEC95052-68F2-4991-B606-082BD8345AEF}">
      <formula1>LENB(K22)&lt;=40</formula1>
    </dataValidation>
    <dataValidation type="custom" imeMode="hiragana" allowBlank="1" showInputMessage="1" showErrorMessage="1" error="128文字以内で記入ください" sqref="K16:AE16" xr:uid="{38E7BA09-D2DB-4358-A221-FFF331F709E5}">
      <formula1>LENB(K16)&lt;=256</formula1>
    </dataValidation>
    <dataValidation type="custom" imeMode="hiragana" allowBlank="1" showInputMessage="1" showErrorMessage="1" error="40文字以内で記入ください" sqref="K13:AE13 K17:AE17" xr:uid="{B5A8CC79-AB00-42D6-8E10-AFE0FBCD977B}">
      <formula1>LENB(K13)&lt;=80</formula1>
    </dataValidation>
    <dataValidation type="custom" imeMode="fullKatakana" allowBlank="1" showInputMessage="1" showErrorMessage="1" error="80文字以内で記入ください" sqref="K12:AE12 K19:AJ19" xr:uid="{A71633D2-3660-4F00-8D90-DECD189B35E3}">
      <formula1>LENB(K12)&lt;=160</formula1>
    </dataValidation>
    <dataValidation type="custom" imeMode="disabled" allowBlank="1" showInputMessage="1" showErrorMessage="1" error=" 郵便番号を記載ください。ハイフン不要です。" sqref="K14:AE14" xr:uid="{8F6E593D-B788-4D43-A179-F5D82B3CBB8D}">
      <formula1>LEN(K14)=7</formula1>
    </dataValidation>
    <dataValidation type="custom" imeMode="disabled" allowBlank="1" showInputMessage="1" showErrorMessage="1" error="英数字６桁で決めてください" sqref="K26:AB26" xr:uid="{DCC116DB-0DE4-41C5-B921-3B5D34E9A6A5}">
      <formula1>(LENB(K26)=LEN(K26))*(LEN(K26)=6)</formula1>
    </dataValidation>
    <dataValidation type="custom" imeMode="disabled" allowBlank="1" showInputMessage="1" showErrorMessage="1" error="メールアドレスは１つだけ入力してください。" sqref="K25:AB25" xr:uid="{067301A2-CC39-4288-84D2-63C0CE609001}">
      <formula1>COUNTIF(K25,"*@*")*NOT(COUNTIF(K25,"*,*"))*NOT(COUNTIF(K25,"*;*"))</formula1>
    </dataValidation>
    <dataValidation type="textLength" imeMode="disabled" allowBlank="1" showInputMessage="1" showErrorMessage="1" errorTitle="電話番号を記載ください" error="ハイフンは不要です" sqref="K18:AJ18" xr:uid="{81C865A8-D370-4779-9717-4A2C67CF4402}">
      <formula1>10</formula1>
      <formula2>11</formula2>
    </dataValidation>
    <dataValidation type="custom" imeMode="hiragana" allowBlank="1" showInputMessage="1" showErrorMessage="1" error="20文字以内で記入ください" sqref="K22:AJ22" xr:uid="{28E3CE75-D700-44AD-A17A-F5011ECA7EFA}">
      <formula1>LENB(K22)&lt;=40</formula1>
    </dataValidation>
    <dataValidation type="custom" imeMode="off" allowBlank="1" showInputMessage="1" showErrorMessage="1" error=" 郵便番号を記載ください。ハイフン不要です。" sqref="J14" xr:uid="{0220750B-DFD9-4822-9A39-1DC7E6ADDC1B}">
      <formula1>OR((LEN(J14)=7),(LEN(J14)=8))</formula1>
    </dataValidation>
    <dataValidation type="date" imeMode="off" operator="greaterThanOrEqual" allowBlank="1" showInputMessage="1" showErrorMessage="1" errorTitle="年月日を入れてください" error="2023/10/25 の形で入力ください" sqref="K10:AE11" xr:uid="{5E11D06B-B9E7-42BF-B053-F4FB725A8FEE}">
      <formula1>36526</formula1>
    </dataValidation>
    <dataValidation type="custom" imeMode="fullKatakana" allowBlank="1" showInputMessage="1" showErrorMessage="1" error="40文字以内で記入ください" sqref="K21:AJ21" xr:uid="{0DB213F5-AFC9-4DD0-9ECB-B7B42892B4D5}">
      <formula1>LENB(K21)&lt;=80</formula1>
    </dataValidation>
  </dataValidations>
  <hyperlinks>
    <hyperlink ref="K25" r:id="rId1" xr:uid="{CE22F473-BEF8-4042-9442-4163618041F6}"/>
  </hyperlinks>
  <printOptions horizontalCentered="1"/>
  <pageMargins left="0.19685039370078741" right="0.15748031496062992" top="0.27559055118110237" bottom="0.35433070866141736" header="0.15748031496062992" footer="0.15748031496062992"/>
  <pageSetup paperSize="9" scale="67" orientation="portrait" r:id="rId2"/>
  <headerFooter alignWithMargins="0"/>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4B0B9-98AA-4312-BCC6-C45A6086E7A8}">
  <dimension ref="A1:Q512"/>
  <sheetViews>
    <sheetView zoomScale="80" zoomScaleNormal="80" workbookViewId="0">
      <selection activeCell="E13" sqref="E13"/>
    </sheetView>
  </sheetViews>
  <sheetFormatPr defaultColWidth="11" defaultRowHeight="16.5"/>
  <cols>
    <col min="1" max="1" width="6.25" style="10" customWidth="1"/>
    <col min="2" max="2" width="9.125" style="10" bestFit="1" customWidth="1"/>
    <col min="3" max="3" width="9.125" style="10" hidden="1" customWidth="1"/>
    <col min="4" max="4" width="12" style="10" hidden="1" customWidth="1"/>
    <col min="5" max="5" width="24.5" style="10" customWidth="1"/>
    <col min="6" max="6" width="24.875" style="10" bestFit="1" customWidth="1"/>
    <col min="7" max="7" width="25.625" style="10" customWidth="1"/>
    <col min="8" max="9" width="8.625" style="10" hidden="1" customWidth="1"/>
    <col min="10" max="10" width="20" style="10" hidden="1" customWidth="1"/>
    <col min="11" max="11" width="10.25" style="10" hidden="1" customWidth="1"/>
    <col min="12" max="12" width="20.125" style="10" hidden="1" customWidth="1"/>
    <col min="13" max="13" width="11" style="10" hidden="1" customWidth="1"/>
    <col min="14" max="16384" width="11" style="10"/>
  </cols>
  <sheetData>
    <row r="1" spans="1:17" ht="24.75">
      <c r="A1" s="9" t="s">
        <v>87</v>
      </c>
    </row>
    <row r="2" spans="1:17" ht="69.599999999999994" customHeight="1">
      <c r="A2" s="112"/>
      <c r="B2" s="112"/>
      <c r="E2" s="241" t="s">
        <v>189</v>
      </c>
      <c r="F2" s="241"/>
      <c r="G2" s="241"/>
      <c r="H2" s="241"/>
      <c r="I2" s="241"/>
      <c r="J2" s="241"/>
      <c r="K2" s="241"/>
      <c r="L2" s="241"/>
      <c r="M2" s="241"/>
      <c r="N2" s="241"/>
      <c r="O2" s="241"/>
      <c r="P2" s="241"/>
      <c r="Q2" s="241"/>
    </row>
    <row r="3" spans="1:17" ht="28.9" customHeight="1">
      <c r="A3" s="9"/>
      <c r="E3" s="17" t="s">
        <v>149</v>
      </c>
      <c r="F3" s="87"/>
    </row>
    <row r="4" spans="1:17" ht="30" customHeight="1">
      <c r="A4" s="9"/>
      <c r="E4" s="242" t="s">
        <v>191</v>
      </c>
      <c r="F4" s="242"/>
      <c r="G4" s="242"/>
      <c r="H4" s="242"/>
      <c r="I4" s="242"/>
      <c r="J4" s="242"/>
      <c r="K4" s="242"/>
      <c r="L4" s="242"/>
      <c r="M4" s="242"/>
      <c r="N4" s="242"/>
      <c r="O4" s="242"/>
      <c r="P4" s="242"/>
      <c r="Q4" s="242"/>
    </row>
    <row r="5" spans="1:17" ht="28.9" customHeight="1">
      <c r="A5" s="9"/>
      <c r="E5" s="113" t="s">
        <v>190</v>
      </c>
      <c r="F5" s="87"/>
    </row>
    <row r="6" spans="1:17" ht="30" customHeight="1" thickBot="1">
      <c r="A6" s="9"/>
      <c r="C6" s="17"/>
      <c r="E6" s="17" t="s">
        <v>113</v>
      </c>
      <c r="F6" s="87"/>
    </row>
    <row r="7" spans="1:17" ht="41.45" customHeight="1" thickBot="1">
      <c r="E7" s="238" t="s">
        <v>148</v>
      </c>
      <c r="F7" s="239"/>
      <c r="G7" s="240"/>
      <c r="H7" s="80"/>
      <c r="I7" s="80"/>
      <c r="J7" s="238" t="s">
        <v>140</v>
      </c>
      <c r="K7" s="239"/>
      <c r="L7" s="240"/>
      <c r="M7" s="10" t="s">
        <v>99</v>
      </c>
    </row>
    <row r="8" spans="1:17" ht="84" customHeight="1">
      <c r="B8" s="11" t="s">
        <v>88</v>
      </c>
      <c r="C8" s="11"/>
      <c r="D8" s="11" t="s">
        <v>123</v>
      </c>
      <c r="E8" s="13" t="s">
        <v>152</v>
      </c>
      <c r="F8" s="77"/>
      <c r="G8" s="12" t="s">
        <v>153</v>
      </c>
      <c r="H8" s="81"/>
      <c r="I8" s="81"/>
      <c r="J8" s="13" t="s">
        <v>145</v>
      </c>
      <c r="K8" s="236" t="s">
        <v>147</v>
      </c>
      <c r="L8" s="237"/>
    </row>
    <row r="9" spans="1:17" s="14" customFormat="1" ht="60" customHeight="1" thickBot="1">
      <c r="B9" s="64" t="s">
        <v>89</v>
      </c>
      <c r="C9" s="64"/>
      <c r="D9" s="65" t="s">
        <v>90</v>
      </c>
      <c r="E9" s="78" t="s">
        <v>141</v>
      </c>
      <c r="F9" s="79" t="s">
        <v>142</v>
      </c>
      <c r="G9" s="64"/>
      <c r="H9" s="64"/>
      <c r="I9" s="64"/>
      <c r="J9" s="82" t="s">
        <v>146</v>
      </c>
      <c r="K9" s="83" t="s">
        <v>144</v>
      </c>
      <c r="L9" s="84" t="s">
        <v>151</v>
      </c>
      <c r="M9" s="10" t="s">
        <v>122</v>
      </c>
      <c r="N9" s="10"/>
      <c r="O9" s="10"/>
    </row>
    <row r="10" spans="1:17" s="14" customFormat="1" ht="21.6" customHeight="1">
      <c r="B10" s="18" t="s">
        <v>94</v>
      </c>
      <c r="C10" s="18"/>
      <c r="D10" s="63">
        <v>1</v>
      </c>
      <c r="E10" s="54" t="s">
        <v>100</v>
      </c>
      <c r="F10" s="54"/>
      <c r="G10" s="55"/>
      <c r="H10" s="55" t="s">
        <v>114</v>
      </c>
      <c r="I10" s="55"/>
      <c r="J10" s="94"/>
      <c r="K10" s="95"/>
      <c r="L10" s="96"/>
      <c r="M10" s="10"/>
      <c r="N10" s="10"/>
      <c r="O10" s="10"/>
    </row>
    <row r="11" spans="1:17" s="14" customFormat="1" ht="21.6" customHeight="1">
      <c r="B11" s="20" t="s">
        <v>95</v>
      </c>
      <c r="C11" s="20"/>
      <c r="D11" s="19">
        <v>2</v>
      </c>
      <c r="E11" s="56" t="s">
        <v>92</v>
      </c>
      <c r="F11" s="56"/>
      <c r="G11" s="57"/>
      <c r="H11" s="57"/>
      <c r="I11" s="57"/>
      <c r="J11" s="97"/>
      <c r="K11" s="98" t="s">
        <v>93</v>
      </c>
      <c r="L11" s="99"/>
      <c r="M11" s="10"/>
      <c r="N11" s="10"/>
      <c r="O11" s="10"/>
    </row>
    <row r="12" spans="1:17" s="14" customFormat="1" ht="21.6" customHeight="1">
      <c r="B12" s="20" t="s">
        <v>96</v>
      </c>
      <c r="C12" s="20"/>
      <c r="D12" s="19">
        <v>3</v>
      </c>
      <c r="E12" s="56" t="s">
        <v>121</v>
      </c>
      <c r="F12" s="56"/>
      <c r="G12" s="57"/>
      <c r="H12" s="57"/>
      <c r="I12" s="57"/>
      <c r="J12" s="97"/>
      <c r="K12" s="98"/>
      <c r="L12" s="100"/>
      <c r="M12" s="10"/>
      <c r="N12" s="10"/>
      <c r="O12" s="10"/>
    </row>
    <row r="13" spans="1:17" ht="22.5">
      <c r="B13" s="15">
        <v>1</v>
      </c>
      <c r="C13" s="15"/>
      <c r="D13" s="21">
        <v>1</v>
      </c>
      <c r="E13" s="60">
        <v>1234123123</v>
      </c>
      <c r="F13" s="85" t="str">
        <f>IF(D13=FALSE,"←ご確認ください",IF(OR(D13=1,D13=2,D13=3),"形式OK",""))</f>
        <v>形式OK</v>
      </c>
      <c r="G13" s="60"/>
      <c r="H13" s="60" t="s">
        <v>114</v>
      </c>
      <c r="I13" s="60"/>
      <c r="J13" s="88" t="s">
        <v>150</v>
      </c>
      <c r="K13" s="89"/>
      <c r="L13" s="90"/>
      <c r="M13" s="10" t="b">
        <f>IF(COUNTA(E13:G13)=0,FALSE,TRUE)</f>
        <v>1</v>
      </c>
    </row>
    <row r="14" spans="1:17" ht="22.5">
      <c r="B14" s="15">
        <v>2</v>
      </c>
      <c r="C14" s="15"/>
      <c r="D14" s="21">
        <v>2</v>
      </c>
      <c r="E14" s="60" t="s">
        <v>157</v>
      </c>
      <c r="F14" s="85" t="str">
        <f t="shared" ref="F14:F18" si="0">IF(D14=FALSE,"←ご確認ください",IF(OR(D14=1,D14=2,D14=3),"形式OK",""))</f>
        <v>形式OK</v>
      </c>
      <c r="G14" s="60"/>
      <c r="H14" s="60"/>
      <c r="I14" s="60"/>
      <c r="J14" s="88"/>
      <c r="K14" s="89" t="s">
        <v>93</v>
      </c>
      <c r="L14" s="90"/>
      <c r="M14" s="10" t="b">
        <f t="shared" ref="M14:M77" si="1">IF(COUNTA(E14:G14)=0,FALSE,TRUE)</f>
        <v>1</v>
      </c>
    </row>
    <row r="15" spans="1:17" ht="22.5">
      <c r="B15" s="15">
        <v>3</v>
      </c>
      <c r="C15" s="15"/>
      <c r="D15" s="21">
        <v>3</v>
      </c>
      <c r="E15" s="60" t="s">
        <v>158</v>
      </c>
      <c r="F15" s="85" t="str">
        <f t="shared" si="0"/>
        <v>形式OK</v>
      </c>
      <c r="G15" s="60"/>
      <c r="H15" s="60"/>
      <c r="I15" s="60"/>
      <c r="J15" s="88"/>
      <c r="K15" s="89"/>
      <c r="L15" s="90"/>
      <c r="M15" s="10" t="b">
        <f t="shared" si="1"/>
        <v>1</v>
      </c>
    </row>
    <row r="16" spans="1:17" ht="22.5">
      <c r="B16" s="15">
        <v>4</v>
      </c>
      <c r="C16" s="15"/>
      <c r="D16" s="21">
        <v>2</v>
      </c>
      <c r="E16" s="60" t="s">
        <v>154</v>
      </c>
      <c r="F16" s="85" t="str">
        <f>IF(D16=FALSE,"←ご確認ください",IF(OR(D16=1,D16=2,D16=3),"形式OK",""))</f>
        <v>形式OK</v>
      </c>
      <c r="G16" s="60"/>
      <c r="H16" s="60"/>
      <c r="I16" s="60"/>
      <c r="J16" s="88"/>
      <c r="K16" s="89" t="s">
        <v>93</v>
      </c>
      <c r="L16" s="90"/>
      <c r="M16" s="10" t="b">
        <f t="shared" si="1"/>
        <v>1</v>
      </c>
    </row>
    <row r="17" spans="2:13" ht="22.5">
      <c r="B17" s="15">
        <v>5</v>
      </c>
      <c r="C17" s="15"/>
      <c r="D17" s="21">
        <v>1</v>
      </c>
      <c r="E17" s="60" t="s">
        <v>155</v>
      </c>
      <c r="F17" s="85" t="str">
        <f t="shared" si="0"/>
        <v>形式OK</v>
      </c>
      <c r="G17" s="60"/>
      <c r="H17" s="60"/>
      <c r="I17" s="60"/>
      <c r="J17" s="88" t="s">
        <v>150</v>
      </c>
      <c r="K17" s="89"/>
      <c r="L17" s="90"/>
      <c r="M17" s="10" t="b">
        <f t="shared" si="1"/>
        <v>1</v>
      </c>
    </row>
    <row r="18" spans="2:13" ht="22.5">
      <c r="B18" s="15">
        <v>6</v>
      </c>
      <c r="C18" s="15"/>
      <c r="D18" s="21">
        <v>3</v>
      </c>
      <c r="E18" s="60" t="s">
        <v>156</v>
      </c>
      <c r="F18" s="85" t="str">
        <f t="shared" si="0"/>
        <v>形式OK</v>
      </c>
      <c r="G18" s="60"/>
      <c r="H18" s="60"/>
      <c r="I18" s="60"/>
      <c r="J18" s="88"/>
      <c r="K18" s="89"/>
      <c r="L18" s="90"/>
      <c r="M18" s="10" t="b">
        <f t="shared" si="1"/>
        <v>1</v>
      </c>
    </row>
    <row r="19" spans="2:13" ht="22.5">
      <c r="B19" s="15">
        <v>7</v>
      </c>
      <c r="C19" s="15"/>
      <c r="D19" s="21"/>
      <c r="E19" s="60" t="s">
        <v>193</v>
      </c>
      <c r="F19" s="117" t="s">
        <v>192</v>
      </c>
      <c r="G19" s="60"/>
      <c r="H19" s="60"/>
      <c r="I19" s="60"/>
      <c r="J19" s="88"/>
      <c r="K19" s="89"/>
      <c r="L19" s="90"/>
      <c r="M19" s="10" t="b">
        <f t="shared" si="1"/>
        <v>1</v>
      </c>
    </row>
    <row r="20" spans="2:13" ht="22.5">
      <c r="B20" s="15">
        <v>8</v>
      </c>
      <c r="C20" s="15"/>
      <c r="D20" s="21"/>
      <c r="E20" s="60" t="s">
        <v>194</v>
      </c>
      <c r="F20" s="117" t="s">
        <v>192</v>
      </c>
      <c r="G20" s="60"/>
      <c r="H20" s="60"/>
      <c r="I20" s="60"/>
      <c r="J20" s="88"/>
      <c r="K20" s="89"/>
      <c r="L20" s="90"/>
      <c r="M20" s="10" t="b">
        <f t="shared" si="1"/>
        <v>1</v>
      </c>
    </row>
    <row r="21" spans="2:13" ht="22.5">
      <c r="B21" s="15">
        <v>9</v>
      </c>
      <c r="C21" s="15"/>
      <c r="D21" s="21"/>
      <c r="E21" s="60" t="s">
        <v>195</v>
      </c>
      <c r="F21" s="117" t="s">
        <v>192</v>
      </c>
      <c r="G21" s="60"/>
      <c r="H21" s="60"/>
      <c r="I21" s="60"/>
      <c r="J21" s="88"/>
      <c r="K21" s="89"/>
      <c r="L21" s="90"/>
      <c r="M21" s="10" t="b">
        <f t="shared" si="1"/>
        <v>1</v>
      </c>
    </row>
    <row r="22" spans="2:13" ht="22.5">
      <c r="B22" s="15">
        <v>10</v>
      </c>
      <c r="C22" s="15"/>
      <c r="D22" s="21"/>
      <c r="E22" s="60" t="s">
        <v>196</v>
      </c>
      <c r="F22" s="117" t="s">
        <v>192</v>
      </c>
      <c r="G22" s="60"/>
      <c r="H22" s="60"/>
      <c r="I22" s="60"/>
      <c r="J22" s="88"/>
      <c r="K22" s="89"/>
      <c r="L22" s="90"/>
      <c r="M22" s="10" t="b">
        <f t="shared" si="1"/>
        <v>1</v>
      </c>
    </row>
    <row r="23" spans="2:13" ht="22.5">
      <c r="B23" s="15">
        <v>11</v>
      </c>
      <c r="C23" s="15"/>
      <c r="D23" s="21"/>
      <c r="E23" s="60" t="s">
        <v>197</v>
      </c>
      <c r="F23" s="117" t="s">
        <v>192</v>
      </c>
      <c r="G23" s="60"/>
      <c r="H23" s="60"/>
      <c r="I23" s="60"/>
      <c r="J23" s="88"/>
      <c r="K23" s="89"/>
      <c r="L23" s="90"/>
      <c r="M23" s="10" t="b">
        <f t="shared" si="1"/>
        <v>1</v>
      </c>
    </row>
    <row r="24" spans="2:13" ht="22.5">
      <c r="B24" s="15">
        <v>12</v>
      </c>
      <c r="C24" s="15"/>
      <c r="D24" s="21"/>
      <c r="E24" s="60"/>
      <c r="F24" s="85"/>
      <c r="G24" s="60"/>
      <c r="H24" s="60"/>
      <c r="I24" s="60"/>
      <c r="J24" s="88"/>
      <c r="K24" s="89"/>
      <c r="L24" s="90"/>
      <c r="M24" s="10" t="b">
        <f t="shared" si="1"/>
        <v>0</v>
      </c>
    </row>
    <row r="25" spans="2:13" ht="22.5">
      <c r="B25" s="15">
        <v>13</v>
      </c>
      <c r="C25" s="15"/>
      <c r="D25" s="21"/>
      <c r="E25" s="60"/>
      <c r="F25" s="85"/>
      <c r="G25" s="60"/>
      <c r="H25" s="60"/>
      <c r="I25" s="60"/>
      <c r="J25" s="88"/>
      <c r="K25" s="89"/>
      <c r="L25" s="90"/>
      <c r="M25" s="10" t="b">
        <f t="shared" si="1"/>
        <v>0</v>
      </c>
    </row>
    <row r="26" spans="2:13" ht="22.5">
      <c r="B26" s="15">
        <v>14</v>
      </c>
      <c r="C26" s="15"/>
      <c r="D26" s="21"/>
      <c r="E26" s="60"/>
      <c r="F26" s="85"/>
      <c r="G26" s="60"/>
      <c r="H26" s="60"/>
      <c r="I26" s="60"/>
      <c r="J26" s="88"/>
      <c r="K26" s="89"/>
      <c r="L26" s="90"/>
      <c r="M26" s="10" t="b">
        <f t="shared" si="1"/>
        <v>0</v>
      </c>
    </row>
    <row r="27" spans="2:13" ht="22.5">
      <c r="B27" s="15">
        <v>15</v>
      </c>
      <c r="C27" s="15"/>
      <c r="D27" s="21"/>
      <c r="E27" s="60"/>
      <c r="F27" s="85"/>
      <c r="G27" s="60"/>
      <c r="H27" s="60"/>
      <c r="I27" s="60"/>
      <c r="J27" s="88"/>
      <c r="K27" s="89"/>
      <c r="L27" s="90"/>
      <c r="M27" s="10" t="b">
        <f t="shared" si="1"/>
        <v>0</v>
      </c>
    </row>
    <row r="28" spans="2:13" ht="22.5">
      <c r="B28" s="15">
        <v>16</v>
      </c>
      <c r="C28" s="15"/>
      <c r="D28" s="21"/>
      <c r="E28" s="60"/>
      <c r="F28" s="85"/>
      <c r="G28" s="60"/>
      <c r="H28" s="60"/>
      <c r="I28" s="60"/>
      <c r="J28" s="88"/>
      <c r="K28" s="89"/>
      <c r="L28" s="90"/>
      <c r="M28" s="10" t="b">
        <f t="shared" si="1"/>
        <v>0</v>
      </c>
    </row>
    <row r="29" spans="2:13" ht="22.5">
      <c r="B29" s="15">
        <v>17</v>
      </c>
      <c r="C29" s="15"/>
      <c r="D29" s="21"/>
      <c r="E29" s="60"/>
      <c r="F29" s="85"/>
      <c r="G29" s="60"/>
      <c r="H29" s="60"/>
      <c r="I29" s="60"/>
      <c r="J29" s="88"/>
      <c r="K29" s="89"/>
      <c r="L29" s="90"/>
      <c r="M29" s="10" t="b">
        <f t="shared" si="1"/>
        <v>0</v>
      </c>
    </row>
    <row r="30" spans="2:13" ht="22.5">
      <c r="B30" s="15">
        <v>18</v>
      </c>
      <c r="C30" s="15"/>
      <c r="D30" s="21"/>
      <c r="E30" s="60"/>
      <c r="F30" s="85"/>
      <c r="G30" s="60"/>
      <c r="H30" s="60"/>
      <c r="I30" s="60"/>
      <c r="J30" s="88"/>
      <c r="K30" s="89"/>
      <c r="L30" s="90"/>
      <c r="M30" s="10" t="b">
        <f t="shared" si="1"/>
        <v>0</v>
      </c>
    </row>
    <row r="31" spans="2:13" ht="22.5">
      <c r="B31" s="15">
        <v>19</v>
      </c>
      <c r="C31" s="15"/>
      <c r="D31" s="21"/>
      <c r="E31" s="60"/>
      <c r="F31" s="85"/>
      <c r="G31" s="60"/>
      <c r="H31" s="60"/>
      <c r="I31" s="60"/>
      <c r="J31" s="88"/>
      <c r="K31" s="89"/>
      <c r="L31" s="90"/>
      <c r="M31" s="10" t="b">
        <f t="shared" si="1"/>
        <v>0</v>
      </c>
    </row>
    <row r="32" spans="2:13" ht="22.5">
      <c r="B32" s="15">
        <v>20</v>
      </c>
      <c r="C32" s="15"/>
      <c r="D32" s="21"/>
      <c r="E32" s="60"/>
      <c r="F32" s="85"/>
      <c r="G32" s="60"/>
      <c r="H32" s="60"/>
      <c r="I32" s="60"/>
      <c r="J32" s="88"/>
      <c r="K32" s="89"/>
      <c r="L32" s="90"/>
      <c r="M32" s="10" t="b">
        <f t="shared" si="1"/>
        <v>0</v>
      </c>
    </row>
    <row r="33" spans="2:13" ht="22.5">
      <c r="B33" s="15">
        <v>21</v>
      </c>
      <c r="C33" s="15"/>
      <c r="D33" s="21"/>
      <c r="E33" s="60"/>
      <c r="F33" s="85"/>
      <c r="G33" s="60"/>
      <c r="H33" s="60"/>
      <c r="I33" s="60"/>
      <c r="J33" s="88"/>
      <c r="K33" s="89"/>
      <c r="L33" s="90"/>
      <c r="M33" s="10" t="b">
        <f t="shared" si="1"/>
        <v>0</v>
      </c>
    </row>
    <row r="34" spans="2:13" ht="22.5">
      <c r="B34" s="15">
        <v>22</v>
      </c>
      <c r="C34" s="15"/>
      <c r="D34" s="21"/>
      <c r="E34" s="60"/>
      <c r="F34" s="85"/>
      <c r="G34" s="60"/>
      <c r="H34" s="60"/>
      <c r="I34" s="60"/>
      <c r="J34" s="88"/>
      <c r="K34" s="89"/>
      <c r="L34" s="90"/>
      <c r="M34" s="10" t="b">
        <f t="shared" si="1"/>
        <v>0</v>
      </c>
    </row>
    <row r="35" spans="2:13" ht="22.5">
      <c r="B35" s="15">
        <v>23</v>
      </c>
      <c r="C35" s="15"/>
      <c r="D35" s="21"/>
      <c r="E35" s="60"/>
      <c r="F35" s="85"/>
      <c r="G35" s="60"/>
      <c r="H35" s="60"/>
      <c r="I35" s="60"/>
      <c r="J35" s="88"/>
      <c r="K35" s="89"/>
      <c r="L35" s="90"/>
      <c r="M35" s="10" t="b">
        <f t="shared" si="1"/>
        <v>0</v>
      </c>
    </row>
    <row r="36" spans="2:13" ht="22.5">
      <c r="B36" s="15">
        <v>24</v>
      </c>
      <c r="C36" s="15"/>
      <c r="D36" s="21"/>
      <c r="E36" s="60"/>
      <c r="F36" s="85"/>
      <c r="G36" s="60"/>
      <c r="H36" s="60"/>
      <c r="I36" s="60"/>
      <c r="J36" s="88"/>
      <c r="K36" s="89"/>
      <c r="L36" s="90"/>
      <c r="M36" s="10" t="b">
        <f t="shared" si="1"/>
        <v>0</v>
      </c>
    </row>
    <row r="37" spans="2:13" ht="22.5">
      <c r="B37" s="15">
        <v>25</v>
      </c>
      <c r="C37" s="15"/>
      <c r="D37" s="21"/>
      <c r="E37" s="60"/>
      <c r="F37" s="85"/>
      <c r="G37" s="60"/>
      <c r="H37" s="60"/>
      <c r="I37" s="60"/>
      <c r="J37" s="88"/>
      <c r="K37" s="89"/>
      <c r="L37" s="90"/>
      <c r="M37" s="10" t="b">
        <f t="shared" si="1"/>
        <v>0</v>
      </c>
    </row>
    <row r="38" spans="2:13" ht="22.5">
      <c r="B38" s="15">
        <v>26</v>
      </c>
      <c r="C38" s="15"/>
      <c r="D38" s="21"/>
      <c r="E38" s="60"/>
      <c r="F38" s="85"/>
      <c r="G38" s="60"/>
      <c r="H38" s="60"/>
      <c r="I38" s="60"/>
      <c r="J38" s="88"/>
      <c r="K38" s="89"/>
      <c r="L38" s="90"/>
      <c r="M38" s="10" t="b">
        <f t="shared" si="1"/>
        <v>0</v>
      </c>
    </row>
    <row r="39" spans="2:13" ht="22.5">
      <c r="B39" s="15">
        <v>27</v>
      </c>
      <c r="C39" s="15"/>
      <c r="D39" s="21"/>
      <c r="E39" s="60"/>
      <c r="F39" s="85"/>
      <c r="G39" s="60"/>
      <c r="H39" s="60"/>
      <c r="I39" s="60"/>
      <c r="J39" s="88"/>
      <c r="K39" s="89"/>
      <c r="L39" s="90"/>
      <c r="M39" s="10" t="b">
        <f t="shared" si="1"/>
        <v>0</v>
      </c>
    </row>
    <row r="40" spans="2:13" ht="22.5">
      <c r="B40" s="15">
        <v>28</v>
      </c>
      <c r="C40" s="15"/>
      <c r="D40" s="21"/>
      <c r="E40" s="60"/>
      <c r="F40" s="85"/>
      <c r="G40" s="60"/>
      <c r="H40" s="60"/>
      <c r="I40" s="60"/>
      <c r="J40" s="88"/>
      <c r="K40" s="89"/>
      <c r="L40" s="90"/>
      <c r="M40" s="10" t="b">
        <f t="shared" si="1"/>
        <v>0</v>
      </c>
    </row>
    <row r="41" spans="2:13" ht="22.5">
      <c r="B41" s="15">
        <v>29</v>
      </c>
      <c r="C41" s="15"/>
      <c r="D41" s="21"/>
      <c r="E41" s="60"/>
      <c r="F41" s="85"/>
      <c r="G41" s="60"/>
      <c r="H41" s="60"/>
      <c r="I41" s="60"/>
      <c r="J41" s="88"/>
      <c r="K41" s="89"/>
      <c r="L41" s="90"/>
      <c r="M41" s="10" t="b">
        <f t="shared" si="1"/>
        <v>0</v>
      </c>
    </row>
    <row r="42" spans="2:13" ht="22.5">
      <c r="B42" s="15">
        <v>30</v>
      </c>
      <c r="C42" s="15"/>
      <c r="D42" s="21"/>
      <c r="E42" s="60"/>
      <c r="F42" s="85"/>
      <c r="G42" s="60"/>
      <c r="H42" s="60"/>
      <c r="I42" s="60"/>
      <c r="J42" s="88"/>
      <c r="K42" s="89"/>
      <c r="L42" s="90"/>
      <c r="M42" s="10" t="b">
        <f t="shared" si="1"/>
        <v>0</v>
      </c>
    </row>
    <row r="43" spans="2:13" ht="22.5">
      <c r="B43" s="15">
        <v>31</v>
      </c>
      <c r="C43" s="15"/>
      <c r="D43" s="21"/>
      <c r="E43" s="60"/>
      <c r="F43" s="85"/>
      <c r="G43" s="60"/>
      <c r="H43" s="60"/>
      <c r="I43" s="60"/>
      <c r="J43" s="88"/>
      <c r="K43" s="89"/>
      <c r="L43" s="90"/>
      <c r="M43" s="10" t="b">
        <f t="shared" si="1"/>
        <v>0</v>
      </c>
    </row>
    <row r="44" spans="2:13" ht="22.5">
      <c r="B44" s="15">
        <v>32</v>
      </c>
      <c r="C44" s="15"/>
      <c r="D44" s="21"/>
      <c r="E44" s="60"/>
      <c r="F44" s="85"/>
      <c r="G44" s="60"/>
      <c r="H44" s="60"/>
      <c r="I44" s="60"/>
      <c r="J44" s="88"/>
      <c r="K44" s="89"/>
      <c r="L44" s="90"/>
      <c r="M44" s="10" t="b">
        <f t="shared" si="1"/>
        <v>0</v>
      </c>
    </row>
    <row r="45" spans="2:13" ht="22.5">
      <c r="B45" s="15">
        <v>33</v>
      </c>
      <c r="C45" s="15"/>
      <c r="D45" s="21"/>
      <c r="E45" s="60"/>
      <c r="F45" s="85"/>
      <c r="G45" s="60"/>
      <c r="H45" s="60"/>
      <c r="I45" s="60"/>
      <c r="J45" s="88"/>
      <c r="K45" s="89"/>
      <c r="L45" s="90"/>
      <c r="M45" s="10" t="b">
        <f t="shared" si="1"/>
        <v>0</v>
      </c>
    </row>
    <row r="46" spans="2:13" ht="22.5">
      <c r="B46" s="15">
        <v>34</v>
      </c>
      <c r="C46" s="15"/>
      <c r="D46" s="21"/>
      <c r="E46" s="60"/>
      <c r="F46" s="85"/>
      <c r="G46" s="60"/>
      <c r="H46" s="60"/>
      <c r="I46" s="60"/>
      <c r="J46" s="88"/>
      <c r="K46" s="89"/>
      <c r="L46" s="90"/>
      <c r="M46" s="10" t="b">
        <f t="shared" si="1"/>
        <v>0</v>
      </c>
    </row>
    <row r="47" spans="2:13" ht="22.5">
      <c r="B47" s="15">
        <v>35</v>
      </c>
      <c r="C47" s="15"/>
      <c r="D47" s="21"/>
      <c r="E47" s="60"/>
      <c r="F47" s="85"/>
      <c r="G47" s="60"/>
      <c r="H47" s="60"/>
      <c r="I47" s="60"/>
      <c r="J47" s="88"/>
      <c r="K47" s="89"/>
      <c r="L47" s="90"/>
      <c r="M47" s="10" t="b">
        <f t="shared" si="1"/>
        <v>0</v>
      </c>
    </row>
    <row r="48" spans="2:13" ht="22.5">
      <c r="B48" s="15">
        <v>36</v>
      </c>
      <c r="C48" s="15"/>
      <c r="D48" s="21"/>
      <c r="E48" s="60"/>
      <c r="F48" s="85"/>
      <c r="G48" s="60"/>
      <c r="H48" s="60"/>
      <c r="I48" s="60"/>
      <c r="J48" s="88"/>
      <c r="K48" s="89"/>
      <c r="L48" s="90"/>
      <c r="M48" s="10" t="b">
        <f t="shared" si="1"/>
        <v>0</v>
      </c>
    </row>
    <row r="49" spans="2:13" ht="22.5">
      <c r="B49" s="15">
        <v>37</v>
      </c>
      <c r="C49" s="15"/>
      <c r="D49" s="21"/>
      <c r="E49" s="60"/>
      <c r="F49" s="85"/>
      <c r="G49" s="60"/>
      <c r="H49" s="60"/>
      <c r="I49" s="60"/>
      <c r="J49" s="88"/>
      <c r="K49" s="89"/>
      <c r="L49" s="90"/>
      <c r="M49" s="10" t="b">
        <f t="shared" si="1"/>
        <v>0</v>
      </c>
    </row>
    <row r="50" spans="2:13" ht="22.5">
      <c r="B50" s="15">
        <v>38</v>
      </c>
      <c r="C50" s="15"/>
      <c r="D50" s="21"/>
      <c r="E50" s="60"/>
      <c r="F50" s="85"/>
      <c r="G50" s="60"/>
      <c r="H50" s="60"/>
      <c r="I50" s="60"/>
      <c r="J50" s="88"/>
      <c r="K50" s="89"/>
      <c r="L50" s="90"/>
      <c r="M50" s="10" t="b">
        <f t="shared" si="1"/>
        <v>0</v>
      </c>
    </row>
    <row r="51" spans="2:13" ht="22.5">
      <c r="B51" s="15">
        <v>39</v>
      </c>
      <c r="C51" s="15"/>
      <c r="D51" s="21"/>
      <c r="E51" s="60"/>
      <c r="F51" s="85"/>
      <c r="G51" s="60"/>
      <c r="H51" s="60"/>
      <c r="I51" s="60"/>
      <c r="J51" s="88"/>
      <c r="K51" s="89"/>
      <c r="L51" s="90"/>
      <c r="M51" s="10" t="b">
        <f t="shared" si="1"/>
        <v>0</v>
      </c>
    </row>
    <row r="52" spans="2:13" ht="22.5">
      <c r="B52" s="15">
        <v>40</v>
      </c>
      <c r="C52" s="15"/>
      <c r="D52" s="21"/>
      <c r="E52" s="60"/>
      <c r="F52" s="85"/>
      <c r="G52" s="60"/>
      <c r="H52" s="60"/>
      <c r="I52" s="60"/>
      <c r="J52" s="88"/>
      <c r="K52" s="89"/>
      <c r="L52" s="90"/>
      <c r="M52" s="10" t="b">
        <f t="shared" si="1"/>
        <v>0</v>
      </c>
    </row>
    <row r="53" spans="2:13" ht="22.5">
      <c r="B53" s="15">
        <v>41</v>
      </c>
      <c r="C53" s="15"/>
      <c r="D53" s="21"/>
      <c r="E53" s="60"/>
      <c r="F53" s="85"/>
      <c r="G53" s="60"/>
      <c r="H53" s="60"/>
      <c r="I53" s="60"/>
      <c r="J53" s="88"/>
      <c r="K53" s="89"/>
      <c r="L53" s="90"/>
      <c r="M53" s="10" t="b">
        <f t="shared" si="1"/>
        <v>0</v>
      </c>
    </row>
    <row r="54" spans="2:13" ht="22.5">
      <c r="B54" s="15">
        <v>42</v>
      </c>
      <c r="C54" s="15"/>
      <c r="D54" s="21"/>
      <c r="E54" s="60"/>
      <c r="F54" s="85"/>
      <c r="G54" s="60"/>
      <c r="H54" s="60"/>
      <c r="I54" s="60"/>
      <c r="J54" s="88"/>
      <c r="K54" s="89"/>
      <c r="L54" s="90"/>
      <c r="M54" s="10" t="b">
        <f t="shared" si="1"/>
        <v>0</v>
      </c>
    </row>
    <row r="55" spans="2:13" ht="22.5">
      <c r="B55" s="15">
        <v>43</v>
      </c>
      <c r="C55" s="15"/>
      <c r="D55" s="21"/>
      <c r="E55" s="60"/>
      <c r="F55" s="85"/>
      <c r="G55" s="60"/>
      <c r="H55" s="60"/>
      <c r="I55" s="60"/>
      <c r="J55" s="88"/>
      <c r="K55" s="89"/>
      <c r="L55" s="90"/>
      <c r="M55" s="10" t="b">
        <f t="shared" si="1"/>
        <v>0</v>
      </c>
    </row>
    <row r="56" spans="2:13" ht="22.5">
      <c r="B56" s="15">
        <v>44</v>
      </c>
      <c r="C56" s="15"/>
      <c r="D56" s="21"/>
      <c r="E56" s="60"/>
      <c r="F56" s="85"/>
      <c r="G56" s="60"/>
      <c r="H56" s="60"/>
      <c r="I56" s="60"/>
      <c r="J56" s="88"/>
      <c r="K56" s="89"/>
      <c r="L56" s="90"/>
      <c r="M56" s="10" t="b">
        <f t="shared" si="1"/>
        <v>0</v>
      </c>
    </row>
    <row r="57" spans="2:13" ht="22.5">
      <c r="B57" s="15">
        <v>45</v>
      </c>
      <c r="C57" s="15"/>
      <c r="D57" s="21"/>
      <c r="E57" s="60"/>
      <c r="F57" s="85"/>
      <c r="G57" s="60"/>
      <c r="H57" s="60"/>
      <c r="I57" s="60"/>
      <c r="J57" s="88"/>
      <c r="K57" s="89"/>
      <c r="L57" s="90"/>
      <c r="M57" s="10" t="b">
        <f t="shared" si="1"/>
        <v>0</v>
      </c>
    </row>
    <row r="58" spans="2:13" ht="22.5">
      <c r="B58" s="15">
        <v>46</v>
      </c>
      <c r="C58" s="15"/>
      <c r="D58" s="21"/>
      <c r="E58" s="60"/>
      <c r="F58" s="85"/>
      <c r="G58" s="60"/>
      <c r="H58" s="60"/>
      <c r="I58" s="60"/>
      <c r="J58" s="88"/>
      <c r="K58" s="89"/>
      <c r="L58" s="90"/>
      <c r="M58" s="10" t="b">
        <f t="shared" si="1"/>
        <v>0</v>
      </c>
    </row>
    <row r="59" spans="2:13" ht="22.5">
      <c r="B59" s="15">
        <v>47</v>
      </c>
      <c r="C59" s="15"/>
      <c r="D59" s="21"/>
      <c r="E59" s="60"/>
      <c r="F59" s="85"/>
      <c r="G59" s="60"/>
      <c r="H59" s="60"/>
      <c r="I59" s="60"/>
      <c r="J59" s="88"/>
      <c r="K59" s="89"/>
      <c r="L59" s="90"/>
      <c r="M59" s="10" t="b">
        <f t="shared" si="1"/>
        <v>0</v>
      </c>
    </row>
    <row r="60" spans="2:13" ht="22.5">
      <c r="B60" s="15">
        <v>48</v>
      </c>
      <c r="C60" s="15"/>
      <c r="D60" s="21"/>
      <c r="E60" s="60"/>
      <c r="F60" s="85"/>
      <c r="G60" s="60"/>
      <c r="H60" s="60"/>
      <c r="I60" s="60"/>
      <c r="J60" s="88"/>
      <c r="K60" s="89"/>
      <c r="L60" s="90"/>
      <c r="M60" s="10" t="b">
        <f t="shared" si="1"/>
        <v>0</v>
      </c>
    </row>
    <row r="61" spans="2:13" ht="22.5">
      <c r="B61" s="15">
        <v>49</v>
      </c>
      <c r="C61" s="15"/>
      <c r="D61" s="21"/>
      <c r="E61" s="60"/>
      <c r="F61" s="85"/>
      <c r="G61" s="60"/>
      <c r="H61" s="60"/>
      <c r="I61" s="60"/>
      <c r="J61" s="88"/>
      <c r="K61" s="89"/>
      <c r="L61" s="90"/>
      <c r="M61" s="10" t="b">
        <f t="shared" si="1"/>
        <v>0</v>
      </c>
    </row>
    <row r="62" spans="2:13" ht="22.5">
      <c r="B62" s="15">
        <v>50</v>
      </c>
      <c r="C62" s="15"/>
      <c r="D62" s="21"/>
      <c r="E62" s="60"/>
      <c r="F62" s="85"/>
      <c r="G62" s="60"/>
      <c r="H62" s="60"/>
      <c r="I62" s="60"/>
      <c r="J62" s="88"/>
      <c r="K62" s="89"/>
      <c r="L62" s="90"/>
      <c r="M62" s="10" t="b">
        <f t="shared" si="1"/>
        <v>0</v>
      </c>
    </row>
    <row r="63" spans="2:13" ht="22.5">
      <c r="B63" s="15">
        <v>51</v>
      </c>
      <c r="C63" s="15"/>
      <c r="D63" s="21"/>
      <c r="E63" s="60"/>
      <c r="F63" s="85"/>
      <c r="G63" s="60"/>
      <c r="H63" s="60"/>
      <c r="I63" s="60"/>
      <c r="J63" s="88"/>
      <c r="K63" s="89"/>
      <c r="L63" s="90"/>
      <c r="M63" s="10" t="b">
        <f t="shared" si="1"/>
        <v>0</v>
      </c>
    </row>
    <row r="64" spans="2:13" ht="22.5">
      <c r="B64" s="15">
        <v>52</v>
      </c>
      <c r="C64" s="15"/>
      <c r="D64" s="21"/>
      <c r="E64" s="60"/>
      <c r="F64" s="85"/>
      <c r="G64" s="60"/>
      <c r="H64" s="60"/>
      <c r="I64" s="60"/>
      <c r="J64" s="88"/>
      <c r="K64" s="89"/>
      <c r="L64" s="90"/>
      <c r="M64" s="10" t="b">
        <f t="shared" si="1"/>
        <v>0</v>
      </c>
    </row>
    <row r="65" spans="2:13" ht="22.5">
      <c r="B65" s="15">
        <v>53</v>
      </c>
      <c r="C65" s="15"/>
      <c r="D65" s="21"/>
      <c r="E65" s="60"/>
      <c r="F65" s="85"/>
      <c r="G65" s="60"/>
      <c r="H65" s="60"/>
      <c r="I65" s="60"/>
      <c r="J65" s="88"/>
      <c r="K65" s="89"/>
      <c r="L65" s="90"/>
      <c r="M65" s="10" t="b">
        <f t="shared" si="1"/>
        <v>0</v>
      </c>
    </row>
    <row r="66" spans="2:13" ht="22.5">
      <c r="B66" s="15">
        <v>54</v>
      </c>
      <c r="C66" s="15"/>
      <c r="D66" s="21"/>
      <c r="E66" s="60"/>
      <c r="F66" s="85"/>
      <c r="G66" s="60"/>
      <c r="H66" s="60"/>
      <c r="I66" s="60"/>
      <c r="J66" s="88"/>
      <c r="K66" s="89"/>
      <c r="L66" s="90"/>
      <c r="M66" s="10" t="b">
        <f t="shared" si="1"/>
        <v>0</v>
      </c>
    </row>
    <row r="67" spans="2:13" ht="22.5">
      <c r="B67" s="15">
        <v>55</v>
      </c>
      <c r="C67" s="15"/>
      <c r="D67" s="21"/>
      <c r="E67" s="60"/>
      <c r="F67" s="85"/>
      <c r="G67" s="60"/>
      <c r="H67" s="60"/>
      <c r="I67" s="60"/>
      <c r="J67" s="88"/>
      <c r="K67" s="89"/>
      <c r="L67" s="90"/>
      <c r="M67" s="10" t="b">
        <f t="shared" si="1"/>
        <v>0</v>
      </c>
    </row>
    <row r="68" spans="2:13" ht="22.5">
      <c r="B68" s="15">
        <v>56</v>
      </c>
      <c r="C68" s="15"/>
      <c r="D68" s="21"/>
      <c r="E68" s="60"/>
      <c r="F68" s="85"/>
      <c r="G68" s="60"/>
      <c r="H68" s="60"/>
      <c r="I68" s="60"/>
      <c r="J68" s="88"/>
      <c r="K68" s="89"/>
      <c r="L68" s="90"/>
      <c r="M68" s="10" t="b">
        <f t="shared" si="1"/>
        <v>0</v>
      </c>
    </row>
    <row r="69" spans="2:13" ht="22.5">
      <c r="B69" s="15">
        <v>57</v>
      </c>
      <c r="C69" s="15"/>
      <c r="D69" s="21"/>
      <c r="E69" s="60"/>
      <c r="F69" s="85"/>
      <c r="G69" s="60"/>
      <c r="H69" s="60"/>
      <c r="I69" s="60"/>
      <c r="J69" s="88"/>
      <c r="K69" s="89"/>
      <c r="L69" s="90"/>
      <c r="M69" s="10" t="b">
        <f t="shared" si="1"/>
        <v>0</v>
      </c>
    </row>
    <row r="70" spans="2:13" ht="22.5">
      <c r="B70" s="15">
        <v>58</v>
      </c>
      <c r="C70" s="15"/>
      <c r="D70" s="21"/>
      <c r="E70" s="60"/>
      <c r="F70" s="85"/>
      <c r="G70" s="60"/>
      <c r="H70" s="60"/>
      <c r="I70" s="60"/>
      <c r="J70" s="88"/>
      <c r="K70" s="89"/>
      <c r="L70" s="90"/>
      <c r="M70" s="10" t="b">
        <f t="shared" si="1"/>
        <v>0</v>
      </c>
    </row>
    <row r="71" spans="2:13" ht="22.5">
      <c r="B71" s="15">
        <v>59</v>
      </c>
      <c r="C71" s="15"/>
      <c r="D71" s="21"/>
      <c r="E71" s="60"/>
      <c r="F71" s="85"/>
      <c r="G71" s="60"/>
      <c r="H71" s="60"/>
      <c r="I71" s="60"/>
      <c r="J71" s="88"/>
      <c r="K71" s="89"/>
      <c r="L71" s="90"/>
      <c r="M71" s="10" t="b">
        <f t="shared" si="1"/>
        <v>0</v>
      </c>
    </row>
    <row r="72" spans="2:13" ht="22.5">
      <c r="B72" s="15">
        <v>60</v>
      </c>
      <c r="C72" s="15"/>
      <c r="D72" s="21"/>
      <c r="E72" s="60"/>
      <c r="F72" s="85"/>
      <c r="G72" s="60"/>
      <c r="H72" s="60"/>
      <c r="I72" s="60"/>
      <c r="J72" s="88"/>
      <c r="K72" s="89"/>
      <c r="L72" s="90"/>
      <c r="M72" s="10" t="b">
        <f t="shared" si="1"/>
        <v>0</v>
      </c>
    </row>
    <row r="73" spans="2:13" ht="22.5">
      <c r="B73" s="15">
        <v>61</v>
      </c>
      <c r="C73" s="15"/>
      <c r="D73" s="21"/>
      <c r="E73" s="60"/>
      <c r="F73" s="85"/>
      <c r="G73" s="60"/>
      <c r="H73" s="60"/>
      <c r="I73" s="60"/>
      <c r="J73" s="88"/>
      <c r="K73" s="89"/>
      <c r="L73" s="90"/>
      <c r="M73" s="10" t="b">
        <f t="shared" si="1"/>
        <v>0</v>
      </c>
    </row>
    <row r="74" spans="2:13" ht="22.5">
      <c r="B74" s="15">
        <v>62</v>
      </c>
      <c r="C74" s="15"/>
      <c r="D74" s="21"/>
      <c r="E74" s="60"/>
      <c r="F74" s="85"/>
      <c r="G74" s="60"/>
      <c r="H74" s="60"/>
      <c r="I74" s="60"/>
      <c r="J74" s="88"/>
      <c r="K74" s="89"/>
      <c r="L74" s="90"/>
      <c r="M74" s="10" t="b">
        <f t="shared" si="1"/>
        <v>0</v>
      </c>
    </row>
    <row r="75" spans="2:13" ht="22.5">
      <c r="B75" s="15">
        <v>63</v>
      </c>
      <c r="C75" s="15"/>
      <c r="D75" s="21"/>
      <c r="E75" s="60"/>
      <c r="F75" s="85"/>
      <c r="G75" s="60"/>
      <c r="H75" s="60"/>
      <c r="I75" s="60"/>
      <c r="J75" s="88"/>
      <c r="K75" s="89"/>
      <c r="L75" s="90"/>
      <c r="M75" s="10" t="b">
        <f t="shared" si="1"/>
        <v>0</v>
      </c>
    </row>
    <row r="76" spans="2:13" ht="22.5">
      <c r="B76" s="15">
        <v>64</v>
      </c>
      <c r="C76" s="15"/>
      <c r="D76" s="21"/>
      <c r="E76" s="60"/>
      <c r="F76" s="85"/>
      <c r="G76" s="60"/>
      <c r="H76" s="60"/>
      <c r="I76" s="60"/>
      <c r="J76" s="88"/>
      <c r="K76" s="89"/>
      <c r="L76" s="90"/>
      <c r="M76" s="10" t="b">
        <f t="shared" si="1"/>
        <v>0</v>
      </c>
    </row>
    <row r="77" spans="2:13" ht="22.5">
      <c r="B77" s="15">
        <v>65</v>
      </c>
      <c r="C77" s="15"/>
      <c r="D77" s="21"/>
      <c r="E77" s="60"/>
      <c r="F77" s="85"/>
      <c r="G77" s="60"/>
      <c r="H77" s="60"/>
      <c r="I77" s="60"/>
      <c r="J77" s="88"/>
      <c r="K77" s="89"/>
      <c r="L77" s="90"/>
      <c r="M77" s="10" t="b">
        <f t="shared" si="1"/>
        <v>0</v>
      </c>
    </row>
    <row r="78" spans="2:13" ht="22.5">
      <c r="B78" s="15">
        <v>66</v>
      </c>
      <c r="C78" s="15"/>
      <c r="D78" s="21"/>
      <c r="E78" s="60"/>
      <c r="F78" s="85"/>
      <c r="G78" s="60"/>
      <c r="H78" s="60"/>
      <c r="I78" s="60"/>
      <c r="J78" s="88"/>
      <c r="K78" s="89"/>
      <c r="L78" s="90"/>
      <c r="M78" s="10" t="b">
        <f t="shared" ref="M78:M141" si="2">IF(COUNTA(E78:G78)=0,FALSE,TRUE)</f>
        <v>0</v>
      </c>
    </row>
    <row r="79" spans="2:13" ht="22.5">
      <c r="B79" s="15">
        <v>67</v>
      </c>
      <c r="C79" s="15"/>
      <c r="D79" s="21"/>
      <c r="E79" s="60"/>
      <c r="F79" s="85"/>
      <c r="G79" s="60"/>
      <c r="H79" s="60"/>
      <c r="I79" s="60"/>
      <c r="J79" s="88"/>
      <c r="K79" s="89"/>
      <c r="L79" s="90"/>
      <c r="M79" s="10" t="b">
        <f t="shared" si="2"/>
        <v>0</v>
      </c>
    </row>
    <row r="80" spans="2:13" ht="22.5">
      <c r="B80" s="15">
        <v>68</v>
      </c>
      <c r="C80" s="15"/>
      <c r="D80" s="21"/>
      <c r="E80" s="60"/>
      <c r="F80" s="85"/>
      <c r="G80" s="60"/>
      <c r="H80" s="60"/>
      <c r="I80" s="60"/>
      <c r="J80" s="88"/>
      <c r="K80" s="89"/>
      <c r="L80" s="90"/>
      <c r="M80" s="10" t="b">
        <f t="shared" si="2"/>
        <v>0</v>
      </c>
    </row>
    <row r="81" spans="2:13" ht="22.5">
      <c r="B81" s="15">
        <v>69</v>
      </c>
      <c r="C81" s="15"/>
      <c r="D81" s="21"/>
      <c r="E81" s="60"/>
      <c r="F81" s="85"/>
      <c r="G81" s="60"/>
      <c r="H81" s="60"/>
      <c r="I81" s="60"/>
      <c r="J81" s="88"/>
      <c r="K81" s="89"/>
      <c r="L81" s="90"/>
      <c r="M81" s="10" t="b">
        <f t="shared" si="2"/>
        <v>0</v>
      </c>
    </row>
    <row r="82" spans="2:13" ht="22.5">
      <c r="B82" s="15">
        <v>70</v>
      </c>
      <c r="C82" s="15"/>
      <c r="D82" s="21"/>
      <c r="E82" s="60"/>
      <c r="F82" s="85"/>
      <c r="G82" s="60"/>
      <c r="H82" s="60"/>
      <c r="I82" s="60"/>
      <c r="J82" s="88"/>
      <c r="K82" s="89"/>
      <c r="L82" s="90"/>
      <c r="M82" s="10" t="b">
        <f t="shared" si="2"/>
        <v>0</v>
      </c>
    </row>
    <row r="83" spans="2:13" ht="22.5">
      <c r="B83" s="15">
        <v>71</v>
      </c>
      <c r="C83" s="15"/>
      <c r="D83" s="21"/>
      <c r="E83" s="60"/>
      <c r="F83" s="85"/>
      <c r="G83" s="60"/>
      <c r="H83" s="60"/>
      <c r="I83" s="60"/>
      <c r="J83" s="88"/>
      <c r="K83" s="89"/>
      <c r="L83" s="90"/>
      <c r="M83" s="10" t="b">
        <f t="shared" si="2"/>
        <v>0</v>
      </c>
    </row>
    <row r="84" spans="2:13" ht="22.5">
      <c r="B84" s="15">
        <v>72</v>
      </c>
      <c r="C84" s="15"/>
      <c r="D84" s="21"/>
      <c r="E84" s="60"/>
      <c r="F84" s="85"/>
      <c r="G84" s="60"/>
      <c r="H84" s="60"/>
      <c r="I84" s="60"/>
      <c r="J84" s="88"/>
      <c r="K84" s="89"/>
      <c r="L84" s="90"/>
      <c r="M84" s="10" t="b">
        <f t="shared" si="2"/>
        <v>0</v>
      </c>
    </row>
    <row r="85" spans="2:13" ht="22.5">
      <c r="B85" s="15">
        <v>73</v>
      </c>
      <c r="C85" s="15"/>
      <c r="D85" s="21"/>
      <c r="E85" s="60"/>
      <c r="F85" s="85"/>
      <c r="G85" s="60"/>
      <c r="H85" s="60"/>
      <c r="I85" s="60"/>
      <c r="J85" s="88"/>
      <c r="K85" s="89"/>
      <c r="L85" s="90"/>
      <c r="M85" s="10" t="b">
        <f t="shared" si="2"/>
        <v>0</v>
      </c>
    </row>
    <row r="86" spans="2:13" ht="22.5">
      <c r="B86" s="15">
        <v>74</v>
      </c>
      <c r="C86" s="15"/>
      <c r="D86" s="21"/>
      <c r="E86" s="60"/>
      <c r="F86" s="85"/>
      <c r="G86" s="60"/>
      <c r="H86" s="60"/>
      <c r="I86" s="60"/>
      <c r="J86" s="88"/>
      <c r="K86" s="89"/>
      <c r="L86" s="90"/>
      <c r="M86" s="10" t="b">
        <f t="shared" si="2"/>
        <v>0</v>
      </c>
    </row>
    <row r="87" spans="2:13" ht="22.5">
      <c r="B87" s="15">
        <v>75</v>
      </c>
      <c r="C87" s="15"/>
      <c r="D87" s="21"/>
      <c r="E87" s="60"/>
      <c r="F87" s="85"/>
      <c r="G87" s="60"/>
      <c r="H87" s="60"/>
      <c r="I87" s="60"/>
      <c r="J87" s="88"/>
      <c r="K87" s="89"/>
      <c r="L87" s="90"/>
      <c r="M87" s="10" t="b">
        <f t="shared" si="2"/>
        <v>0</v>
      </c>
    </row>
    <row r="88" spans="2:13" ht="22.5">
      <c r="B88" s="15">
        <v>76</v>
      </c>
      <c r="C88" s="15"/>
      <c r="D88" s="21"/>
      <c r="E88" s="60"/>
      <c r="F88" s="85"/>
      <c r="G88" s="60"/>
      <c r="H88" s="60"/>
      <c r="I88" s="60"/>
      <c r="J88" s="88"/>
      <c r="K88" s="89"/>
      <c r="L88" s="90"/>
      <c r="M88" s="10" t="b">
        <f t="shared" si="2"/>
        <v>0</v>
      </c>
    </row>
    <row r="89" spans="2:13" ht="22.5">
      <c r="B89" s="15">
        <v>77</v>
      </c>
      <c r="C89" s="15"/>
      <c r="D89" s="21"/>
      <c r="E89" s="60"/>
      <c r="F89" s="85"/>
      <c r="G89" s="60"/>
      <c r="H89" s="60"/>
      <c r="I89" s="60"/>
      <c r="J89" s="88"/>
      <c r="K89" s="89"/>
      <c r="L89" s="90"/>
      <c r="M89" s="10" t="b">
        <f t="shared" si="2"/>
        <v>0</v>
      </c>
    </row>
    <row r="90" spans="2:13" ht="22.5">
      <c r="B90" s="15">
        <v>78</v>
      </c>
      <c r="C90" s="15"/>
      <c r="D90" s="21"/>
      <c r="E90" s="60"/>
      <c r="F90" s="85"/>
      <c r="G90" s="60"/>
      <c r="H90" s="60"/>
      <c r="I90" s="60"/>
      <c r="J90" s="88"/>
      <c r="K90" s="89"/>
      <c r="L90" s="90"/>
      <c r="M90" s="10" t="b">
        <f t="shared" si="2"/>
        <v>0</v>
      </c>
    </row>
    <row r="91" spans="2:13" ht="22.5">
      <c r="B91" s="15">
        <v>79</v>
      </c>
      <c r="C91" s="15"/>
      <c r="D91" s="21"/>
      <c r="E91" s="60"/>
      <c r="F91" s="85"/>
      <c r="G91" s="60"/>
      <c r="H91" s="60"/>
      <c r="I91" s="60"/>
      <c r="J91" s="88"/>
      <c r="K91" s="89"/>
      <c r="L91" s="90"/>
      <c r="M91" s="10" t="b">
        <f t="shared" si="2"/>
        <v>0</v>
      </c>
    </row>
    <row r="92" spans="2:13" ht="22.5">
      <c r="B92" s="15">
        <v>80</v>
      </c>
      <c r="C92" s="15"/>
      <c r="D92" s="21"/>
      <c r="E92" s="60"/>
      <c r="F92" s="85"/>
      <c r="G92" s="60"/>
      <c r="H92" s="60"/>
      <c r="I92" s="60"/>
      <c r="J92" s="88"/>
      <c r="K92" s="89"/>
      <c r="L92" s="90"/>
      <c r="M92" s="10" t="b">
        <f t="shared" si="2"/>
        <v>0</v>
      </c>
    </row>
    <row r="93" spans="2:13" ht="22.5">
      <c r="B93" s="15">
        <v>81</v>
      </c>
      <c r="C93" s="15"/>
      <c r="D93" s="21"/>
      <c r="E93" s="60"/>
      <c r="F93" s="85"/>
      <c r="G93" s="60"/>
      <c r="H93" s="60"/>
      <c r="I93" s="60"/>
      <c r="J93" s="88"/>
      <c r="K93" s="89"/>
      <c r="L93" s="90"/>
      <c r="M93" s="10" t="b">
        <f t="shared" si="2"/>
        <v>0</v>
      </c>
    </row>
    <row r="94" spans="2:13" ht="22.5">
      <c r="B94" s="15">
        <v>82</v>
      </c>
      <c r="C94" s="15"/>
      <c r="D94" s="21"/>
      <c r="E94" s="60"/>
      <c r="F94" s="85"/>
      <c r="G94" s="60"/>
      <c r="H94" s="60"/>
      <c r="I94" s="60"/>
      <c r="J94" s="88"/>
      <c r="K94" s="89"/>
      <c r="L94" s="90"/>
      <c r="M94" s="10" t="b">
        <f t="shared" si="2"/>
        <v>0</v>
      </c>
    </row>
    <row r="95" spans="2:13" ht="22.5">
      <c r="B95" s="15">
        <v>83</v>
      </c>
      <c r="C95" s="15"/>
      <c r="D95" s="21"/>
      <c r="E95" s="60"/>
      <c r="F95" s="85"/>
      <c r="G95" s="60"/>
      <c r="H95" s="60"/>
      <c r="I95" s="60"/>
      <c r="J95" s="88"/>
      <c r="K95" s="89"/>
      <c r="L95" s="90"/>
      <c r="M95" s="10" t="b">
        <f t="shared" si="2"/>
        <v>0</v>
      </c>
    </row>
    <row r="96" spans="2:13" ht="22.5">
      <c r="B96" s="15">
        <v>84</v>
      </c>
      <c r="C96" s="15"/>
      <c r="D96" s="21"/>
      <c r="E96" s="60"/>
      <c r="F96" s="85"/>
      <c r="G96" s="60"/>
      <c r="H96" s="60"/>
      <c r="I96" s="60"/>
      <c r="J96" s="88"/>
      <c r="K96" s="89"/>
      <c r="L96" s="90"/>
      <c r="M96" s="10" t="b">
        <f t="shared" si="2"/>
        <v>0</v>
      </c>
    </row>
    <row r="97" spans="2:13" ht="22.5">
      <c r="B97" s="15">
        <v>85</v>
      </c>
      <c r="C97" s="15"/>
      <c r="D97" s="21"/>
      <c r="E97" s="60"/>
      <c r="F97" s="85"/>
      <c r="G97" s="60"/>
      <c r="H97" s="60"/>
      <c r="I97" s="60"/>
      <c r="J97" s="88"/>
      <c r="K97" s="89"/>
      <c r="L97" s="90"/>
      <c r="M97" s="10" t="b">
        <f t="shared" si="2"/>
        <v>0</v>
      </c>
    </row>
    <row r="98" spans="2:13" ht="22.5">
      <c r="B98" s="15">
        <v>86</v>
      </c>
      <c r="C98" s="15"/>
      <c r="D98" s="21"/>
      <c r="E98" s="60"/>
      <c r="F98" s="85"/>
      <c r="G98" s="60"/>
      <c r="H98" s="60"/>
      <c r="I98" s="60"/>
      <c r="J98" s="88"/>
      <c r="K98" s="89"/>
      <c r="L98" s="90"/>
      <c r="M98" s="10" t="b">
        <f t="shared" si="2"/>
        <v>0</v>
      </c>
    </row>
    <row r="99" spans="2:13" ht="22.5">
      <c r="B99" s="15">
        <v>87</v>
      </c>
      <c r="C99" s="15"/>
      <c r="D99" s="21"/>
      <c r="E99" s="60"/>
      <c r="F99" s="85"/>
      <c r="G99" s="60"/>
      <c r="H99" s="60"/>
      <c r="I99" s="60"/>
      <c r="J99" s="88"/>
      <c r="K99" s="89"/>
      <c r="L99" s="90"/>
      <c r="M99" s="10" t="b">
        <f t="shared" si="2"/>
        <v>0</v>
      </c>
    </row>
    <row r="100" spans="2:13" ht="22.5">
      <c r="B100" s="15">
        <v>88</v>
      </c>
      <c r="C100" s="15"/>
      <c r="D100" s="21"/>
      <c r="E100" s="60"/>
      <c r="F100" s="85"/>
      <c r="G100" s="60"/>
      <c r="H100" s="60"/>
      <c r="I100" s="60"/>
      <c r="J100" s="88"/>
      <c r="K100" s="89"/>
      <c r="L100" s="90"/>
      <c r="M100" s="10" t="b">
        <f t="shared" si="2"/>
        <v>0</v>
      </c>
    </row>
    <row r="101" spans="2:13" ht="22.5">
      <c r="B101" s="15">
        <v>89</v>
      </c>
      <c r="C101" s="15"/>
      <c r="D101" s="21"/>
      <c r="E101" s="60"/>
      <c r="F101" s="85"/>
      <c r="G101" s="60"/>
      <c r="H101" s="60"/>
      <c r="I101" s="60"/>
      <c r="J101" s="88"/>
      <c r="K101" s="89"/>
      <c r="L101" s="90"/>
      <c r="M101" s="10" t="b">
        <f t="shared" si="2"/>
        <v>0</v>
      </c>
    </row>
    <row r="102" spans="2:13" ht="22.5">
      <c r="B102" s="15">
        <v>90</v>
      </c>
      <c r="C102" s="15"/>
      <c r="D102" s="21"/>
      <c r="E102" s="60"/>
      <c r="F102" s="85"/>
      <c r="G102" s="60"/>
      <c r="H102" s="60"/>
      <c r="I102" s="60"/>
      <c r="J102" s="88"/>
      <c r="K102" s="89"/>
      <c r="L102" s="90"/>
      <c r="M102" s="10" t="b">
        <f t="shared" si="2"/>
        <v>0</v>
      </c>
    </row>
    <row r="103" spans="2:13" ht="22.5">
      <c r="B103" s="15">
        <v>91</v>
      </c>
      <c r="C103" s="15"/>
      <c r="D103" s="21"/>
      <c r="E103" s="60"/>
      <c r="F103" s="85"/>
      <c r="G103" s="60"/>
      <c r="H103" s="60"/>
      <c r="I103" s="60"/>
      <c r="J103" s="88"/>
      <c r="K103" s="89"/>
      <c r="L103" s="90"/>
      <c r="M103" s="10" t="b">
        <f t="shared" si="2"/>
        <v>0</v>
      </c>
    </row>
    <row r="104" spans="2:13" ht="22.5">
      <c r="B104" s="15">
        <v>92</v>
      </c>
      <c r="C104" s="15"/>
      <c r="D104" s="21"/>
      <c r="E104" s="60"/>
      <c r="F104" s="85"/>
      <c r="G104" s="60"/>
      <c r="H104" s="60"/>
      <c r="I104" s="60"/>
      <c r="J104" s="88"/>
      <c r="K104" s="89"/>
      <c r="L104" s="90"/>
      <c r="M104" s="10" t="b">
        <f t="shared" si="2"/>
        <v>0</v>
      </c>
    </row>
    <row r="105" spans="2:13" ht="22.5">
      <c r="B105" s="15">
        <v>93</v>
      </c>
      <c r="C105" s="15"/>
      <c r="D105" s="21"/>
      <c r="E105" s="60"/>
      <c r="F105" s="85"/>
      <c r="G105" s="60"/>
      <c r="H105" s="60"/>
      <c r="I105" s="60"/>
      <c r="J105" s="88"/>
      <c r="K105" s="89"/>
      <c r="L105" s="90"/>
      <c r="M105" s="10" t="b">
        <f t="shared" si="2"/>
        <v>0</v>
      </c>
    </row>
    <row r="106" spans="2:13" ht="22.5">
      <c r="B106" s="15">
        <v>94</v>
      </c>
      <c r="C106" s="15"/>
      <c r="D106" s="21"/>
      <c r="E106" s="60"/>
      <c r="F106" s="85"/>
      <c r="G106" s="60"/>
      <c r="H106" s="60"/>
      <c r="I106" s="60"/>
      <c r="J106" s="88"/>
      <c r="K106" s="89"/>
      <c r="L106" s="90"/>
      <c r="M106" s="10" t="b">
        <f t="shared" si="2"/>
        <v>0</v>
      </c>
    </row>
    <row r="107" spans="2:13" ht="22.5">
      <c r="B107" s="15">
        <v>95</v>
      </c>
      <c r="C107" s="15"/>
      <c r="D107" s="21"/>
      <c r="E107" s="60"/>
      <c r="F107" s="85"/>
      <c r="G107" s="60"/>
      <c r="H107" s="60"/>
      <c r="I107" s="60"/>
      <c r="J107" s="88"/>
      <c r="K107" s="89"/>
      <c r="L107" s="90"/>
      <c r="M107" s="10" t="b">
        <f t="shared" si="2"/>
        <v>0</v>
      </c>
    </row>
    <row r="108" spans="2:13" ht="22.5">
      <c r="B108" s="15">
        <v>96</v>
      </c>
      <c r="C108" s="15"/>
      <c r="D108" s="21"/>
      <c r="E108" s="60"/>
      <c r="F108" s="85"/>
      <c r="G108" s="60"/>
      <c r="H108" s="60"/>
      <c r="I108" s="60"/>
      <c r="J108" s="88"/>
      <c r="K108" s="89"/>
      <c r="L108" s="90"/>
      <c r="M108" s="10" t="b">
        <f t="shared" si="2"/>
        <v>0</v>
      </c>
    </row>
    <row r="109" spans="2:13" ht="22.5">
      <c r="B109" s="15">
        <v>97</v>
      </c>
      <c r="C109" s="15"/>
      <c r="D109" s="21"/>
      <c r="E109" s="60"/>
      <c r="F109" s="85"/>
      <c r="G109" s="60"/>
      <c r="H109" s="60"/>
      <c r="I109" s="60"/>
      <c r="J109" s="88"/>
      <c r="K109" s="89"/>
      <c r="L109" s="90"/>
      <c r="M109" s="10" t="b">
        <f t="shared" si="2"/>
        <v>0</v>
      </c>
    </row>
    <row r="110" spans="2:13" ht="22.5">
      <c r="B110" s="15">
        <v>98</v>
      </c>
      <c r="C110" s="15"/>
      <c r="D110" s="21"/>
      <c r="E110" s="60"/>
      <c r="F110" s="85"/>
      <c r="G110" s="60"/>
      <c r="H110" s="60"/>
      <c r="I110" s="60"/>
      <c r="J110" s="88"/>
      <c r="K110" s="89"/>
      <c r="L110" s="90"/>
      <c r="M110" s="10" t="b">
        <f t="shared" si="2"/>
        <v>0</v>
      </c>
    </row>
    <row r="111" spans="2:13" ht="22.5">
      <c r="B111" s="15">
        <v>99</v>
      </c>
      <c r="C111" s="15"/>
      <c r="D111" s="21"/>
      <c r="E111" s="60"/>
      <c r="F111" s="85"/>
      <c r="G111" s="60"/>
      <c r="H111" s="60"/>
      <c r="I111" s="60"/>
      <c r="J111" s="88"/>
      <c r="K111" s="89"/>
      <c r="L111" s="90"/>
      <c r="M111" s="10" t="b">
        <f t="shared" si="2"/>
        <v>0</v>
      </c>
    </row>
    <row r="112" spans="2:13" ht="22.5">
      <c r="B112" s="15">
        <v>100</v>
      </c>
      <c r="C112" s="15"/>
      <c r="D112" s="21"/>
      <c r="E112" s="60"/>
      <c r="F112" s="85"/>
      <c r="G112" s="60"/>
      <c r="H112" s="60"/>
      <c r="I112" s="60"/>
      <c r="J112" s="88"/>
      <c r="K112" s="89"/>
      <c r="L112" s="90"/>
      <c r="M112" s="10" t="b">
        <f t="shared" si="2"/>
        <v>0</v>
      </c>
    </row>
    <row r="113" spans="2:13" ht="22.5">
      <c r="B113" s="15">
        <v>101</v>
      </c>
      <c r="C113" s="15"/>
      <c r="D113" s="21"/>
      <c r="E113" s="60"/>
      <c r="F113" s="85"/>
      <c r="G113" s="60"/>
      <c r="H113" s="60"/>
      <c r="I113" s="60"/>
      <c r="J113" s="88"/>
      <c r="K113" s="89"/>
      <c r="L113" s="90"/>
      <c r="M113" s="10" t="b">
        <f t="shared" si="2"/>
        <v>0</v>
      </c>
    </row>
    <row r="114" spans="2:13" ht="22.5">
      <c r="B114" s="15">
        <v>102</v>
      </c>
      <c r="C114" s="15"/>
      <c r="D114" s="21"/>
      <c r="E114" s="60"/>
      <c r="F114" s="85"/>
      <c r="G114" s="60"/>
      <c r="H114" s="60"/>
      <c r="I114" s="60"/>
      <c r="J114" s="88"/>
      <c r="K114" s="89"/>
      <c r="L114" s="90"/>
      <c r="M114" s="10" t="b">
        <f t="shared" si="2"/>
        <v>0</v>
      </c>
    </row>
    <row r="115" spans="2:13" ht="22.5">
      <c r="B115" s="15">
        <v>103</v>
      </c>
      <c r="C115" s="15"/>
      <c r="D115" s="21"/>
      <c r="E115" s="60"/>
      <c r="F115" s="85"/>
      <c r="G115" s="60"/>
      <c r="H115" s="60"/>
      <c r="I115" s="60"/>
      <c r="J115" s="88"/>
      <c r="K115" s="89"/>
      <c r="L115" s="90"/>
      <c r="M115" s="10" t="b">
        <f t="shared" si="2"/>
        <v>0</v>
      </c>
    </row>
    <row r="116" spans="2:13" ht="22.5">
      <c r="B116" s="15">
        <v>104</v>
      </c>
      <c r="C116" s="15"/>
      <c r="D116" s="21"/>
      <c r="E116" s="60"/>
      <c r="F116" s="85"/>
      <c r="G116" s="60"/>
      <c r="H116" s="60"/>
      <c r="I116" s="60"/>
      <c r="J116" s="88"/>
      <c r="K116" s="89"/>
      <c r="L116" s="90"/>
      <c r="M116" s="10" t="b">
        <f t="shared" si="2"/>
        <v>0</v>
      </c>
    </row>
    <row r="117" spans="2:13" ht="22.5">
      <c r="B117" s="15">
        <v>105</v>
      </c>
      <c r="C117" s="15"/>
      <c r="D117" s="21"/>
      <c r="E117" s="60"/>
      <c r="F117" s="85"/>
      <c r="G117" s="60"/>
      <c r="H117" s="60"/>
      <c r="I117" s="60"/>
      <c r="J117" s="88"/>
      <c r="K117" s="89"/>
      <c r="L117" s="90"/>
      <c r="M117" s="10" t="b">
        <f t="shared" si="2"/>
        <v>0</v>
      </c>
    </row>
    <row r="118" spans="2:13" ht="22.5">
      <c r="B118" s="15">
        <v>106</v>
      </c>
      <c r="C118" s="15"/>
      <c r="D118" s="21"/>
      <c r="E118" s="60"/>
      <c r="F118" s="85"/>
      <c r="G118" s="60"/>
      <c r="H118" s="60"/>
      <c r="I118" s="60"/>
      <c r="J118" s="88"/>
      <c r="K118" s="89"/>
      <c r="L118" s="90"/>
      <c r="M118" s="10" t="b">
        <f t="shared" si="2"/>
        <v>0</v>
      </c>
    </row>
    <row r="119" spans="2:13" ht="22.5">
      <c r="B119" s="15">
        <v>107</v>
      </c>
      <c r="C119" s="15"/>
      <c r="D119" s="21"/>
      <c r="E119" s="60"/>
      <c r="F119" s="85"/>
      <c r="G119" s="60"/>
      <c r="H119" s="60"/>
      <c r="I119" s="60"/>
      <c r="J119" s="88"/>
      <c r="K119" s="89"/>
      <c r="L119" s="90"/>
      <c r="M119" s="10" t="b">
        <f t="shared" si="2"/>
        <v>0</v>
      </c>
    </row>
    <row r="120" spans="2:13" ht="22.5">
      <c r="B120" s="15">
        <v>108</v>
      </c>
      <c r="C120" s="15"/>
      <c r="D120" s="21"/>
      <c r="E120" s="60"/>
      <c r="F120" s="85"/>
      <c r="G120" s="60"/>
      <c r="H120" s="60"/>
      <c r="I120" s="60"/>
      <c r="J120" s="88"/>
      <c r="K120" s="89"/>
      <c r="L120" s="90"/>
      <c r="M120" s="10" t="b">
        <f t="shared" si="2"/>
        <v>0</v>
      </c>
    </row>
    <row r="121" spans="2:13" ht="22.5">
      <c r="B121" s="15">
        <v>109</v>
      </c>
      <c r="C121" s="15"/>
      <c r="D121" s="21"/>
      <c r="E121" s="60"/>
      <c r="F121" s="85"/>
      <c r="G121" s="60"/>
      <c r="H121" s="60"/>
      <c r="I121" s="60"/>
      <c r="J121" s="88"/>
      <c r="K121" s="89"/>
      <c r="L121" s="90"/>
      <c r="M121" s="10" t="b">
        <f t="shared" si="2"/>
        <v>0</v>
      </c>
    </row>
    <row r="122" spans="2:13" ht="22.5">
      <c r="B122" s="15">
        <v>110</v>
      </c>
      <c r="C122" s="15"/>
      <c r="D122" s="21"/>
      <c r="E122" s="60"/>
      <c r="F122" s="85"/>
      <c r="G122" s="60"/>
      <c r="H122" s="60"/>
      <c r="I122" s="60"/>
      <c r="J122" s="88"/>
      <c r="K122" s="89"/>
      <c r="L122" s="90"/>
      <c r="M122" s="10" t="b">
        <f t="shared" si="2"/>
        <v>0</v>
      </c>
    </row>
    <row r="123" spans="2:13" ht="22.5">
      <c r="B123" s="15">
        <v>111</v>
      </c>
      <c r="C123" s="15"/>
      <c r="D123" s="21"/>
      <c r="E123" s="60"/>
      <c r="F123" s="85"/>
      <c r="G123" s="60"/>
      <c r="H123" s="60"/>
      <c r="I123" s="60"/>
      <c r="J123" s="88"/>
      <c r="K123" s="89"/>
      <c r="L123" s="90"/>
      <c r="M123" s="10" t="b">
        <f t="shared" si="2"/>
        <v>0</v>
      </c>
    </row>
    <row r="124" spans="2:13" ht="22.5">
      <c r="B124" s="15">
        <v>112</v>
      </c>
      <c r="C124" s="15"/>
      <c r="D124" s="21"/>
      <c r="E124" s="60"/>
      <c r="F124" s="85"/>
      <c r="G124" s="60"/>
      <c r="H124" s="60"/>
      <c r="I124" s="60"/>
      <c r="J124" s="88"/>
      <c r="K124" s="89"/>
      <c r="L124" s="90"/>
      <c r="M124" s="10" t="b">
        <f t="shared" si="2"/>
        <v>0</v>
      </c>
    </row>
    <row r="125" spans="2:13" ht="22.5">
      <c r="B125" s="15">
        <v>113</v>
      </c>
      <c r="C125" s="15"/>
      <c r="D125" s="21"/>
      <c r="E125" s="60"/>
      <c r="F125" s="85"/>
      <c r="G125" s="60"/>
      <c r="H125" s="60"/>
      <c r="I125" s="60"/>
      <c r="J125" s="88"/>
      <c r="K125" s="89"/>
      <c r="L125" s="90"/>
      <c r="M125" s="10" t="b">
        <f t="shared" si="2"/>
        <v>0</v>
      </c>
    </row>
    <row r="126" spans="2:13" ht="22.5">
      <c r="B126" s="15">
        <v>114</v>
      </c>
      <c r="C126" s="15"/>
      <c r="D126" s="21"/>
      <c r="E126" s="60"/>
      <c r="F126" s="85"/>
      <c r="G126" s="60"/>
      <c r="H126" s="60"/>
      <c r="I126" s="60"/>
      <c r="J126" s="88"/>
      <c r="K126" s="89"/>
      <c r="L126" s="90"/>
      <c r="M126" s="10" t="b">
        <f t="shared" si="2"/>
        <v>0</v>
      </c>
    </row>
    <row r="127" spans="2:13" ht="22.5">
      <c r="B127" s="15">
        <v>115</v>
      </c>
      <c r="C127" s="15"/>
      <c r="D127" s="21"/>
      <c r="E127" s="60"/>
      <c r="F127" s="85"/>
      <c r="G127" s="60"/>
      <c r="H127" s="60"/>
      <c r="I127" s="60"/>
      <c r="J127" s="88"/>
      <c r="K127" s="89"/>
      <c r="L127" s="90"/>
      <c r="M127" s="10" t="b">
        <f t="shared" si="2"/>
        <v>0</v>
      </c>
    </row>
    <row r="128" spans="2:13" ht="22.5">
      <c r="B128" s="15">
        <v>116</v>
      </c>
      <c r="C128" s="15"/>
      <c r="D128" s="21"/>
      <c r="E128" s="60"/>
      <c r="F128" s="85"/>
      <c r="G128" s="60"/>
      <c r="H128" s="60"/>
      <c r="I128" s="60"/>
      <c r="J128" s="88"/>
      <c r="K128" s="89"/>
      <c r="L128" s="90"/>
      <c r="M128" s="10" t="b">
        <f t="shared" si="2"/>
        <v>0</v>
      </c>
    </row>
    <row r="129" spans="2:13" ht="22.5">
      <c r="B129" s="15">
        <v>117</v>
      </c>
      <c r="C129" s="15"/>
      <c r="D129" s="21"/>
      <c r="E129" s="60"/>
      <c r="F129" s="85"/>
      <c r="G129" s="60"/>
      <c r="H129" s="60"/>
      <c r="I129" s="60"/>
      <c r="J129" s="88"/>
      <c r="K129" s="89"/>
      <c r="L129" s="90"/>
      <c r="M129" s="10" t="b">
        <f t="shared" si="2"/>
        <v>0</v>
      </c>
    </row>
    <row r="130" spans="2:13" ht="22.5">
      <c r="B130" s="15">
        <v>118</v>
      </c>
      <c r="C130" s="15"/>
      <c r="D130" s="21"/>
      <c r="E130" s="60"/>
      <c r="F130" s="85"/>
      <c r="G130" s="60"/>
      <c r="H130" s="60"/>
      <c r="I130" s="60"/>
      <c r="J130" s="88"/>
      <c r="K130" s="89"/>
      <c r="L130" s="90"/>
      <c r="M130" s="10" t="b">
        <f t="shared" si="2"/>
        <v>0</v>
      </c>
    </row>
    <row r="131" spans="2:13" ht="22.5">
      <c r="B131" s="15">
        <v>119</v>
      </c>
      <c r="C131" s="15"/>
      <c r="D131" s="21"/>
      <c r="E131" s="60"/>
      <c r="F131" s="85"/>
      <c r="G131" s="60"/>
      <c r="H131" s="60"/>
      <c r="I131" s="60"/>
      <c r="J131" s="88"/>
      <c r="K131" s="89"/>
      <c r="L131" s="90"/>
      <c r="M131" s="10" t="b">
        <f t="shared" si="2"/>
        <v>0</v>
      </c>
    </row>
    <row r="132" spans="2:13" ht="22.5">
      <c r="B132" s="15">
        <v>120</v>
      </c>
      <c r="C132" s="15"/>
      <c r="D132" s="21"/>
      <c r="E132" s="60"/>
      <c r="F132" s="85"/>
      <c r="G132" s="60"/>
      <c r="H132" s="60"/>
      <c r="I132" s="60"/>
      <c r="J132" s="88"/>
      <c r="K132" s="89"/>
      <c r="L132" s="90"/>
      <c r="M132" s="10" t="b">
        <f t="shared" si="2"/>
        <v>0</v>
      </c>
    </row>
    <row r="133" spans="2:13" ht="22.5">
      <c r="B133" s="15">
        <v>121</v>
      </c>
      <c r="C133" s="15"/>
      <c r="D133" s="21"/>
      <c r="E133" s="60"/>
      <c r="F133" s="85"/>
      <c r="G133" s="60"/>
      <c r="H133" s="60"/>
      <c r="I133" s="60"/>
      <c r="J133" s="88"/>
      <c r="K133" s="89"/>
      <c r="L133" s="90"/>
      <c r="M133" s="10" t="b">
        <f t="shared" si="2"/>
        <v>0</v>
      </c>
    </row>
    <row r="134" spans="2:13" ht="22.5">
      <c r="B134" s="15">
        <v>122</v>
      </c>
      <c r="C134" s="15"/>
      <c r="D134" s="21"/>
      <c r="E134" s="60"/>
      <c r="F134" s="85"/>
      <c r="G134" s="60"/>
      <c r="H134" s="60"/>
      <c r="I134" s="60"/>
      <c r="J134" s="88"/>
      <c r="K134" s="89"/>
      <c r="L134" s="90"/>
      <c r="M134" s="10" t="b">
        <f t="shared" si="2"/>
        <v>0</v>
      </c>
    </row>
    <row r="135" spans="2:13" ht="22.5">
      <c r="B135" s="15">
        <v>123</v>
      </c>
      <c r="C135" s="15"/>
      <c r="D135" s="21"/>
      <c r="E135" s="60"/>
      <c r="F135" s="85"/>
      <c r="G135" s="60"/>
      <c r="H135" s="60"/>
      <c r="I135" s="60"/>
      <c r="J135" s="88"/>
      <c r="K135" s="89"/>
      <c r="L135" s="90"/>
      <c r="M135" s="10" t="b">
        <f t="shared" si="2"/>
        <v>0</v>
      </c>
    </row>
    <row r="136" spans="2:13" ht="22.5">
      <c r="B136" s="15">
        <v>124</v>
      </c>
      <c r="C136" s="15"/>
      <c r="D136" s="21"/>
      <c r="E136" s="60"/>
      <c r="F136" s="85"/>
      <c r="G136" s="60"/>
      <c r="H136" s="60"/>
      <c r="I136" s="60"/>
      <c r="J136" s="88"/>
      <c r="K136" s="89"/>
      <c r="L136" s="90"/>
      <c r="M136" s="10" t="b">
        <f t="shared" si="2"/>
        <v>0</v>
      </c>
    </row>
    <row r="137" spans="2:13" ht="22.5">
      <c r="B137" s="15">
        <v>125</v>
      </c>
      <c r="C137" s="15"/>
      <c r="D137" s="21"/>
      <c r="E137" s="60"/>
      <c r="F137" s="85"/>
      <c r="G137" s="60"/>
      <c r="H137" s="60"/>
      <c r="I137" s="60"/>
      <c r="J137" s="88"/>
      <c r="K137" s="89"/>
      <c r="L137" s="90"/>
      <c r="M137" s="10" t="b">
        <f t="shared" si="2"/>
        <v>0</v>
      </c>
    </row>
    <row r="138" spans="2:13" ht="22.5">
      <c r="B138" s="15">
        <v>126</v>
      </c>
      <c r="C138" s="15"/>
      <c r="D138" s="21"/>
      <c r="E138" s="60"/>
      <c r="F138" s="85"/>
      <c r="G138" s="60"/>
      <c r="H138" s="60"/>
      <c r="I138" s="60"/>
      <c r="J138" s="88"/>
      <c r="K138" s="89"/>
      <c r="L138" s="90"/>
      <c r="M138" s="10" t="b">
        <f t="shared" si="2"/>
        <v>0</v>
      </c>
    </row>
    <row r="139" spans="2:13" ht="22.5">
      <c r="B139" s="15">
        <v>127</v>
      </c>
      <c r="C139" s="15"/>
      <c r="D139" s="21"/>
      <c r="E139" s="60"/>
      <c r="F139" s="85"/>
      <c r="G139" s="60"/>
      <c r="H139" s="60"/>
      <c r="I139" s="60"/>
      <c r="J139" s="88"/>
      <c r="K139" s="89"/>
      <c r="L139" s="90"/>
      <c r="M139" s="10" t="b">
        <f t="shared" si="2"/>
        <v>0</v>
      </c>
    </row>
    <row r="140" spans="2:13" ht="22.5">
      <c r="B140" s="15">
        <v>128</v>
      </c>
      <c r="C140" s="15"/>
      <c r="D140" s="21"/>
      <c r="E140" s="60"/>
      <c r="F140" s="85"/>
      <c r="G140" s="60"/>
      <c r="H140" s="60"/>
      <c r="I140" s="60"/>
      <c r="J140" s="88"/>
      <c r="K140" s="89"/>
      <c r="L140" s="90"/>
      <c r="M140" s="10" t="b">
        <f t="shared" si="2"/>
        <v>0</v>
      </c>
    </row>
    <row r="141" spans="2:13" ht="22.5">
      <c r="B141" s="15">
        <v>129</v>
      </c>
      <c r="C141" s="15"/>
      <c r="D141" s="21"/>
      <c r="E141" s="60"/>
      <c r="F141" s="85"/>
      <c r="G141" s="60"/>
      <c r="H141" s="60"/>
      <c r="I141" s="60"/>
      <c r="J141" s="88"/>
      <c r="K141" s="89"/>
      <c r="L141" s="90"/>
      <c r="M141" s="10" t="b">
        <f t="shared" si="2"/>
        <v>0</v>
      </c>
    </row>
    <row r="142" spans="2:13" ht="22.5">
      <c r="B142" s="15">
        <v>130</v>
      </c>
      <c r="C142" s="15"/>
      <c r="D142" s="21"/>
      <c r="E142" s="60"/>
      <c r="F142" s="85"/>
      <c r="G142" s="60"/>
      <c r="H142" s="60"/>
      <c r="I142" s="60"/>
      <c r="J142" s="88"/>
      <c r="K142" s="89"/>
      <c r="L142" s="90"/>
      <c r="M142" s="10" t="b">
        <f t="shared" ref="M142:M205" si="3">IF(COUNTA(E142:G142)=0,FALSE,TRUE)</f>
        <v>0</v>
      </c>
    </row>
    <row r="143" spans="2:13" ht="22.5">
      <c r="B143" s="15">
        <v>131</v>
      </c>
      <c r="C143" s="15"/>
      <c r="D143" s="21"/>
      <c r="E143" s="60"/>
      <c r="F143" s="85"/>
      <c r="G143" s="60"/>
      <c r="H143" s="60"/>
      <c r="I143" s="60"/>
      <c r="J143" s="88"/>
      <c r="K143" s="89"/>
      <c r="L143" s="90"/>
      <c r="M143" s="10" t="b">
        <f t="shared" si="3"/>
        <v>0</v>
      </c>
    </row>
    <row r="144" spans="2:13" ht="22.5">
      <c r="B144" s="15">
        <v>132</v>
      </c>
      <c r="C144" s="15"/>
      <c r="D144" s="21"/>
      <c r="E144" s="60"/>
      <c r="F144" s="85"/>
      <c r="G144" s="60"/>
      <c r="H144" s="60"/>
      <c r="I144" s="60"/>
      <c r="J144" s="88"/>
      <c r="K144" s="89"/>
      <c r="L144" s="90"/>
      <c r="M144" s="10" t="b">
        <f t="shared" si="3"/>
        <v>0</v>
      </c>
    </row>
    <row r="145" spans="2:13" ht="22.5">
      <c r="B145" s="15">
        <v>133</v>
      </c>
      <c r="C145" s="15"/>
      <c r="D145" s="21"/>
      <c r="E145" s="60"/>
      <c r="F145" s="85"/>
      <c r="G145" s="60"/>
      <c r="H145" s="60"/>
      <c r="I145" s="60"/>
      <c r="J145" s="88"/>
      <c r="K145" s="89"/>
      <c r="L145" s="90"/>
      <c r="M145" s="10" t="b">
        <f t="shared" si="3"/>
        <v>0</v>
      </c>
    </row>
    <row r="146" spans="2:13" ht="22.5">
      <c r="B146" s="15">
        <v>134</v>
      </c>
      <c r="C146" s="15"/>
      <c r="D146" s="21"/>
      <c r="E146" s="60"/>
      <c r="F146" s="85"/>
      <c r="G146" s="60"/>
      <c r="H146" s="60"/>
      <c r="I146" s="60"/>
      <c r="J146" s="88"/>
      <c r="K146" s="89"/>
      <c r="L146" s="90"/>
      <c r="M146" s="10" t="b">
        <f t="shared" si="3"/>
        <v>0</v>
      </c>
    </row>
    <row r="147" spans="2:13" ht="22.5">
      <c r="B147" s="15">
        <v>135</v>
      </c>
      <c r="C147" s="15"/>
      <c r="D147" s="21"/>
      <c r="E147" s="60"/>
      <c r="F147" s="85"/>
      <c r="G147" s="60"/>
      <c r="H147" s="60"/>
      <c r="I147" s="60"/>
      <c r="J147" s="88"/>
      <c r="K147" s="89"/>
      <c r="L147" s="90"/>
      <c r="M147" s="10" t="b">
        <f t="shared" si="3"/>
        <v>0</v>
      </c>
    </row>
    <row r="148" spans="2:13" ht="22.5">
      <c r="B148" s="15">
        <v>136</v>
      </c>
      <c r="C148" s="15"/>
      <c r="D148" s="21"/>
      <c r="E148" s="60"/>
      <c r="F148" s="85"/>
      <c r="G148" s="60"/>
      <c r="H148" s="60"/>
      <c r="I148" s="60"/>
      <c r="J148" s="88"/>
      <c r="K148" s="89"/>
      <c r="L148" s="90"/>
      <c r="M148" s="10" t="b">
        <f t="shared" si="3"/>
        <v>0</v>
      </c>
    </row>
    <row r="149" spans="2:13" ht="22.5">
      <c r="B149" s="15">
        <v>137</v>
      </c>
      <c r="C149" s="15"/>
      <c r="D149" s="21"/>
      <c r="E149" s="60"/>
      <c r="F149" s="85"/>
      <c r="G149" s="60"/>
      <c r="H149" s="60"/>
      <c r="I149" s="60"/>
      <c r="J149" s="88"/>
      <c r="K149" s="89"/>
      <c r="L149" s="90"/>
      <c r="M149" s="10" t="b">
        <f t="shared" si="3"/>
        <v>0</v>
      </c>
    </row>
    <row r="150" spans="2:13" ht="22.5">
      <c r="B150" s="15">
        <v>138</v>
      </c>
      <c r="C150" s="15"/>
      <c r="D150" s="21"/>
      <c r="E150" s="60"/>
      <c r="F150" s="85"/>
      <c r="G150" s="60"/>
      <c r="H150" s="60"/>
      <c r="I150" s="60"/>
      <c r="J150" s="88"/>
      <c r="K150" s="89"/>
      <c r="L150" s="90"/>
      <c r="M150" s="10" t="b">
        <f t="shared" si="3"/>
        <v>0</v>
      </c>
    </row>
    <row r="151" spans="2:13" ht="22.5">
      <c r="B151" s="15">
        <v>139</v>
      </c>
      <c r="C151" s="15"/>
      <c r="D151" s="21"/>
      <c r="E151" s="60"/>
      <c r="F151" s="85"/>
      <c r="G151" s="60"/>
      <c r="H151" s="60"/>
      <c r="I151" s="60"/>
      <c r="J151" s="88"/>
      <c r="K151" s="89"/>
      <c r="L151" s="90"/>
      <c r="M151" s="10" t="b">
        <f t="shared" si="3"/>
        <v>0</v>
      </c>
    </row>
    <row r="152" spans="2:13" ht="22.5">
      <c r="B152" s="15">
        <v>140</v>
      </c>
      <c r="C152" s="15"/>
      <c r="D152" s="21"/>
      <c r="E152" s="60"/>
      <c r="F152" s="85"/>
      <c r="G152" s="60"/>
      <c r="H152" s="60"/>
      <c r="I152" s="60"/>
      <c r="J152" s="88"/>
      <c r="K152" s="89"/>
      <c r="L152" s="90"/>
      <c r="M152" s="10" t="b">
        <f t="shared" si="3"/>
        <v>0</v>
      </c>
    </row>
    <row r="153" spans="2:13" ht="22.5">
      <c r="B153" s="15">
        <v>141</v>
      </c>
      <c r="C153" s="15"/>
      <c r="D153" s="21"/>
      <c r="E153" s="60"/>
      <c r="F153" s="85"/>
      <c r="G153" s="60"/>
      <c r="H153" s="60"/>
      <c r="I153" s="60"/>
      <c r="J153" s="88"/>
      <c r="K153" s="89"/>
      <c r="L153" s="90"/>
      <c r="M153" s="10" t="b">
        <f t="shared" si="3"/>
        <v>0</v>
      </c>
    </row>
    <row r="154" spans="2:13" ht="22.5">
      <c r="B154" s="15">
        <v>142</v>
      </c>
      <c r="C154" s="15"/>
      <c r="D154" s="21"/>
      <c r="E154" s="60"/>
      <c r="F154" s="85"/>
      <c r="G154" s="60"/>
      <c r="H154" s="60"/>
      <c r="I154" s="60"/>
      <c r="J154" s="88"/>
      <c r="K154" s="89"/>
      <c r="L154" s="90"/>
      <c r="M154" s="10" t="b">
        <f t="shared" si="3"/>
        <v>0</v>
      </c>
    </row>
    <row r="155" spans="2:13" ht="22.5">
      <c r="B155" s="15">
        <v>143</v>
      </c>
      <c r="C155" s="15"/>
      <c r="D155" s="21"/>
      <c r="E155" s="60"/>
      <c r="F155" s="85"/>
      <c r="G155" s="60"/>
      <c r="H155" s="60"/>
      <c r="I155" s="60"/>
      <c r="J155" s="88"/>
      <c r="K155" s="89"/>
      <c r="L155" s="90"/>
      <c r="M155" s="10" t="b">
        <f t="shared" si="3"/>
        <v>0</v>
      </c>
    </row>
    <row r="156" spans="2:13" ht="22.5">
      <c r="B156" s="15">
        <v>144</v>
      </c>
      <c r="C156" s="15"/>
      <c r="D156" s="21"/>
      <c r="E156" s="60"/>
      <c r="F156" s="85"/>
      <c r="G156" s="60"/>
      <c r="H156" s="60"/>
      <c r="I156" s="60"/>
      <c r="J156" s="88"/>
      <c r="K156" s="89"/>
      <c r="L156" s="90"/>
      <c r="M156" s="10" t="b">
        <f t="shared" si="3"/>
        <v>0</v>
      </c>
    </row>
    <row r="157" spans="2:13" ht="22.5">
      <c r="B157" s="15">
        <v>145</v>
      </c>
      <c r="C157" s="15"/>
      <c r="D157" s="21"/>
      <c r="E157" s="60"/>
      <c r="F157" s="85"/>
      <c r="G157" s="60"/>
      <c r="H157" s="60"/>
      <c r="I157" s="60"/>
      <c r="J157" s="88"/>
      <c r="K157" s="89"/>
      <c r="L157" s="90"/>
      <c r="M157" s="10" t="b">
        <f t="shared" si="3"/>
        <v>0</v>
      </c>
    </row>
    <row r="158" spans="2:13" ht="22.5">
      <c r="B158" s="15">
        <v>146</v>
      </c>
      <c r="C158" s="15"/>
      <c r="D158" s="21"/>
      <c r="E158" s="60"/>
      <c r="F158" s="85"/>
      <c r="G158" s="60"/>
      <c r="H158" s="60"/>
      <c r="I158" s="60"/>
      <c r="J158" s="88"/>
      <c r="K158" s="89"/>
      <c r="L158" s="90"/>
      <c r="M158" s="10" t="b">
        <f t="shared" si="3"/>
        <v>0</v>
      </c>
    </row>
    <row r="159" spans="2:13" ht="22.5">
      <c r="B159" s="15">
        <v>147</v>
      </c>
      <c r="C159" s="15"/>
      <c r="D159" s="21"/>
      <c r="E159" s="60"/>
      <c r="F159" s="85"/>
      <c r="G159" s="60"/>
      <c r="H159" s="60"/>
      <c r="I159" s="60"/>
      <c r="J159" s="88"/>
      <c r="K159" s="89"/>
      <c r="L159" s="90"/>
      <c r="M159" s="10" t="b">
        <f t="shared" si="3"/>
        <v>0</v>
      </c>
    </row>
    <row r="160" spans="2:13" ht="22.5">
      <c r="B160" s="15">
        <v>148</v>
      </c>
      <c r="C160" s="15"/>
      <c r="D160" s="21"/>
      <c r="E160" s="60"/>
      <c r="F160" s="85"/>
      <c r="G160" s="60"/>
      <c r="H160" s="60"/>
      <c r="I160" s="60"/>
      <c r="J160" s="88"/>
      <c r="K160" s="89"/>
      <c r="L160" s="90"/>
      <c r="M160" s="10" t="b">
        <f t="shared" si="3"/>
        <v>0</v>
      </c>
    </row>
    <row r="161" spans="2:13" ht="22.5">
      <c r="B161" s="15">
        <v>149</v>
      </c>
      <c r="C161" s="15"/>
      <c r="D161" s="21"/>
      <c r="E161" s="60"/>
      <c r="F161" s="85"/>
      <c r="G161" s="60"/>
      <c r="H161" s="60"/>
      <c r="I161" s="60"/>
      <c r="J161" s="88"/>
      <c r="K161" s="89"/>
      <c r="L161" s="90"/>
      <c r="M161" s="10" t="b">
        <f t="shared" si="3"/>
        <v>0</v>
      </c>
    </row>
    <row r="162" spans="2:13" ht="22.5">
      <c r="B162" s="15">
        <v>150</v>
      </c>
      <c r="C162" s="15"/>
      <c r="D162" s="21"/>
      <c r="E162" s="60"/>
      <c r="F162" s="85"/>
      <c r="G162" s="60"/>
      <c r="H162" s="60"/>
      <c r="I162" s="60"/>
      <c r="J162" s="88"/>
      <c r="K162" s="89"/>
      <c r="L162" s="90"/>
      <c r="M162" s="10" t="b">
        <f t="shared" si="3"/>
        <v>0</v>
      </c>
    </row>
    <row r="163" spans="2:13" ht="22.5">
      <c r="B163" s="15">
        <v>151</v>
      </c>
      <c r="C163" s="15"/>
      <c r="D163" s="21"/>
      <c r="E163" s="60"/>
      <c r="F163" s="85"/>
      <c r="G163" s="60"/>
      <c r="H163" s="60"/>
      <c r="I163" s="60"/>
      <c r="J163" s="88"/>
      <c r="K163" s="89"/>
      <c r="L163" s="90"/>
      <c r="M163" s="10" t="b">
        <f t="shared" si="3"/>
        <v>0</v>
      </c>
    </row>
    <row r="164" spans="2:13" ht="22.5">
      <c r="B164" s="15">
        <v>152</v>
      </c>
      <c r="C164" s="15"/>
      <c r="D164" s="21"/>
      <c r="E164" s="60"/>
      <c r="F164" s="85"/>
      <c r="G164" s="60"/>
      <c r="H164" s="60"/>
      <c r="I164" s="60"/>
      <c r="J164" s="88"/>
      <c r="K164" s="89"/>
      <c r="L164" s="90"/>
      <c r="M164" s="10" t="b">
        <f t="shared" si="3"/>
        <v>0</v>
      </c>
    </row>
    <row r="165" spans="2:13" ht="22.5">
      <c r="B165" s="15">
        <v>153</v>
      </c>
      <c r="C165" s="15"/>
      <c r="D165" s="21"/>
      <c r="E165" s="60"/>
      <c r="F165" s="85"/>
      <c r="G165" s="60"/>
      <c r="H165" s="60"/>
      <c r="I165" s="60"/>
      <c r="J165" s="88"/>
      <c r="K165" s="89"/>
      <c r="L165" s="90"/>
      <c r="M165" s="10" t="b">
        <f t="shared" si="3"/>
        <v>0</v>
      </c>
    </row>
    <row r="166" spans="2:13" ht="22.5">
      <c r="B166" s="15">
        <v>154</v>
      </c>
      <c r="C166" s="15"/>
      <c r="D166" s="21"/>
      <c r="E166" s="60"/>
      <c r="F166" s="85"/>
      <c r="G166" s="60"/>
      <c r="H166" s="60"/>
      <c r="I166" s="60"/>
      <c r="J166" s="88"/>
      <c r="K166" s="89"/>
      <c r="L166" s="90"/>
      <c r="M166" s="10" t="b">
        <f t="shared" si="3"/>
        <v>0</v>
      </c>
    </row>
    <row r="167" spans="2:13" ht="22.5">
      <c r="B167" s="15">
        <v>155</v>
      </c>
      <c r="C167" s="15"/>
      <c r="D167" s="21"/>
      <c r="E167" s="60"/>
      <c r="F167" s="85"/>
      <c r="G167" s="60"/>
      <c r="H167" s="60"/>
      <c r="I167" s="60"/>
      <c r="J167" s="88"/>
      <c r="K167" s="89"/>
      <c r="L167" s="90"/>
      <c r="M167" s="10" t="b">
        <f t="shared" si="3"/>
        <v>0</v>
      </c>
    </row>
    <row r="168" spans="2:13" ht="22.5">
      <c r="B168" s="15">
        <v>156</v>
      </c>
      <c r="C168" s="15"/>
      <c r="D168" s="21"/>
      <c r="E168" s="60"/>
      <c r="F168" s="85"/>
      <c r="G168" s="60"/>
      <c r="H168" s="60"/>
      <c r="I168" s="60"/>
      <c r="J168" s="88"/>
      <c r="K168" s="89"/>
      <c r="L168" s="90"/>
      <c r="M168" s="10" t="b">
        <f t="shared" si="3"/>
        <v>0</v>
      </c>
    </row>
    <row r="169" spans="2:13" ht="22.5">
      <c r="B169" s="15">
        <v>157</v>
      </c>
      <c r="C169" s="15"/>
      <c r="D169" s="21"/>
      <c r="E169" s="60"/>
      <c r="F169" s="85"/>
      <c r="G169" s="60"/>
      <c r="H169" s="60"/>
      <c r="I169" s="60"/>
      <c r="J169" s="88"/>
      <c r="K169" s="89"/>
      <c r="L169" s="90"/>
      <c r="M169" s="10" t="b">
        <f t="shared" si="3"/>
        <v>0</v>
      </c>
    </row>
    <row r="170" spans="2:13" ht="22.5">
      <c r="B170" s="15">
        <v>158</v>
      </c>
      <c r="C170" s="15"/>
      <c r="D170" s="21"/>
      <c r="E170" s="60"/>
      <c r="F170" s="85"/>
      <c r="G170" s="60"/>
      <c r="H170" s="60"/>
      <c r="I170" s="60"/>
      <c r="J170" s="88"/>
      <c r="K170" s="89"/>
      <c r="L170" s="90"/>
      <c r="M170" s="10" t="b">
        <f t="shared" si="3"/>
        <v>0</v>
      </c>
    </row>
    <row r="171" spans="2:13" ht="22.5">
      <c r="B171" s="15">
        <v>159</v>
      </c>
      <c r="C171" s="15"/>
      <c r="D171" s="21"/>
      <c r="E171" s="60"/>
      <c r="F171" s="85"/>
      <c r="G171" s="60"/>
      <c r="H171" s="60"/>
      <c r="I171" s="60"/>
      <c r="J171" s="88"/>
      <c r="K171" s="89"/>
      <c r="L171" s="90"/>
      <c r="M171" s="10" t="b">
        <f t="shared" si="3"/>
        <v>0</v>
      </c>
    </row>
    <row r="172" spans="2:13" ht="22.5">
      <c r="B172" s="15">
        <v>160</v>
      </c>
      <c r="C172" s="15"/>
      <c r="D172" s="21"/>
      <c r="E172" s="60"/>
      <c r="F172" s="85"/>
      <c r="G172" s="60"/>
      <c r="H172" s="60"/>
      <c r="I172" s="60"/>
      <c r="J172" s="88"/>
      <c r="K172" s="89"/>
      <c r="L172" s="90"/>
      <c r="M172" s="10" t="b">
        <f t="shared" si="3"/>
        <v>0</v>
      </c>
    </row>
    <row r="173" spans="2:13" ht="22.5">
      <c r="B173" s="15">
        <v>161</v>
      </c>
      <c r="C173" s="15"/>
      <c r="D173" s="21"/>
      <c r="E173" s="60"/>
      <c r="F173" s="85"/>
      <c r="G173" s="60"/>
      <c r="H173" s="60"/>
      <c r="I173" s="60"/>
      <c r="J173" s="88"/>
      <c r="K173" s="89"/>
      <c r="L173" s="90"/>
      <c r="M173" s="10" t="b">
        <f t="shared" si="3"/>
        <v>0</v>
      </c>
    </row>
    <row r="174" spans="2:13" ht="22.5">
      <c r="B174" s="15">
        <v>162</v>
      </c>
      <c r="C174" s="15"/>
      <c r="D174" s="21"/>
      <c r="E174" s="60"/>
      <c r="F174" s="85"/>
      <c r="G174" s="60"/>
      <c r="H174" s="60"/>
      <c r="I174" s="60"/>
      <c r="J174" s="88"/>
      <c r="K174" s="89"/>
      <c r="L174" s="90"/>
      <c r="M174" s="10" t="b">
        <f t="shared" si="3"/>
        <v>0</v>
      </c>
    </row>
    <row r="175" spans="2:13" ht="22.5">
      <c r="B175" s="15">
        <v>163</v>
      </c>
      <c r="C175" s="15"/>
      <c r="D175" s="21"/>
      <c r="E175" s="60"/>
      <c r="F175" s="85"/>
      <c r="G175" s="60"/>
      <c r="H175" s="60"/>
      <c r="I175" s="60"/>
      <c r="J175" s="88"/>
      <c r="K175" s="89"/>
      <c r="L175" s="90"/>
      <c r="M175" s="10" t="b">
        <f t="shared" si="3"/>
        <v>0</v>
      </c>
    </row>
    <row r="176" spans="2:13" ht="22.5">
      <c r="B176" s="15">
        <v>164</v>
      </c>
      <c r="C176" s="15"/>
      <c r="D176" s="21"/>
      <c r="E176" s="60"/>
      <c r="F176" s="85"/>
      <c r="G176" s="60"/>
      <c r="H176" s="60"/>
      <c r="I176" s="60"/>
      <c r="J176" s="88"/>
      <c r="K176" s="89"/>
      <c r="L176" s="90"/>
      <c r="M176" s="10" t="b">
        <f t="shared" si="3"/>
        <v>0</v>
      </c>
    </row>
    <row r="177" spans="2:13" ht="22.5">
      <c r="B177" s="15">
        <v>165</v>
      </c>
      <c r="C177" s="15"/>
      <c r="D177" s="21"/>
      <c r="E177" s="60"/>
      <c r="F177" s="85"/>
      <c r="G177" s="60"/>
      <c r="H177" s="60"/>
      <c r="I177" s="60"/>
      <c r="J177" s="88"/>
      <c r="K177" s="89"/>
      <c r="L177" s="90"/>
      <c r="M177" s="10" t="b">
        <f t="shared" si="3"/>
        <v>0</v>
      </c>
    </row>
    <row r="178" spans="2:13" ht="22.5">
      <c r="B178" s="15">
        <v>166</v>
      </c>
      <c r="C178" s="15"/>
      <c r="D178" s="21"/>
      <c r="E178" s="60"/>
      <c r="F178" s="85"/>
      <c r="G178" s="60"/>
      <c r="H178" s="60"/>
      <c r="I178" s="60"/>
      <c r="J178" s="88"/>
      <c r="K178" s="89"/>
      <c r="L178" s="90"/>
      <c r="M178" s="10" t="b">
        <f t="shared" si="3"/>
        <v>0</v>
      </c>
    </row>
    <row r="179" spans="2:13" ht="22.5">
      <c r="B179" s="15">
        <v>167</v>
      </c>
      <c r="C179" s="15"/>
      <c r="D179" s="21"/>
      <c r="E179" s="60"/>
      <c r="F179" s="85"/>
      <c r="G179" s="60"/>
      <c r="H179" s="60"/>
      <c r="I179" s="60"/>
      <c r="J179" s="88"/>
      <c r="K179" s="89"/>
      <c r="L179" s="90"/>
      <c r="M179" s="10" t="b">
        <f t="shared" si="3"/>
        <v>0</v>
      </c>
    </row>
    <row r="180" spans="2:13" ht="22.5">
      <c r="B180" s="15">
        <v>168</v>
      </c>
      <c r="C180" s="15"/>
      <c r="D180" s="21"/>
      <c r="E180" s="60"/>
      <c r="F180" s="85"/>
      <c r="G180" s="60"/>
      <c r="H180" s="60"/>
      <c r="I180" s="60"/>
      <c r="J180" s="88"/>
      <c r="K180" s="89"/>
      <c r="L180" s="90"/>
      <c r="M180" s="10" t="b">
        <f t="shared" si="3"/>
        <v>0</v>
      </c>
    </row>
    <row r="181" spans="2:13" ht="22.5">
      <c r="B181" s="15">
        <v>169</v>
      </c>
      <c r="C181" s="15"/>
      <c r="D181" s="21"/>
      <c r="E181" s="60"/>
      <c r="F181" s="85"/>
      <c r="G181" s="60"/>
      <c r="H181" s="60"/>
      <c r="I181" s="60"/>
      <c r="J181" s="88"/>
      <c r="K181" s="89"/>
      <c r="L181" s="90"/>
      <c r="M181" s="10" t="b">
        <f t="shared" si="3"/>
        <v>0</v>
      </c>
    </row>
    <row r="182" spans="2:13" ht="22.5">
      <c r="B182" s="15">
        <v>170</v>
      </c>
      <c r="C182" s="15"/>
      <c r="D182" s="21"/>
      <c r="E182" s="60"/>
      <c r="F182" s="85"/>
      <c r="G182" s="60"/>
      <c r="H182" s="60"/>
      <c r="I182" s="60"/>
      <c r="J182" s="88"/>
      <c r="K182" s="89"/>
      <c r="L182" s="90"/>
      <c r="M182" s="10" t="b">
        <f t="shared" si="3"/>
        <v>0</v>
      </c>
    </row>
    <row r="183" spans="2:13" ht="22.5">
      <c r="B183" s="15">
        <v>171</v>
      </c>
      <c r="C183" s="15"/>
      <c r="D183" s="21"/>
      <c r="E183" s="60"/>
      <c r="F183" s="85"/>
      <c r="G183" s="60"/>
      <c r="H183" s="60"/>
      <c r="I183" s="60"/>
      <c r="J183" s="88"/>
      <c r="K183" s="89"/>
      <c r="L183" s="90"/>
      <c r="M183" s="10" t="b">
        <f t="shared" si="3"/>
        <v>0</v>
      </c>
    </row>
    <row r="184" spans="2:13" ht="22.5">
      <c r="B184" s="15">
        <v>172</v>
      </c>
      <c r="C184" s="15"/>
      <c r="D184" s="21"/>
      <c r="E184" s="60"/>
      <c r="F184" s="85"/>
      <c r="G184" s="60"/>
      <c r="H184" s="60"/>
      <c r="I184" s="60"/>
      <c r="J184" s="88"/>
      <c r="K184" s="89"/>
      <c r="L184" s="90"/>
      <c r="M184" s="10" t="b">
        <f t="shared" si="3"/>
        <v>0</v>
      </c>
    </row>
    <row r="185" spans="2:13" ht="22.5">
      <c r="B185" s="15">
        <v>173</v>
      </c>
      <c r="C185" s="15"/>
      <c r="D185" s="21"/>
      <c r="E185" s="60"/>
      <c r="F185" s="85"/>
      <c r="G185" s="60"/>
      <c r="H185" s="60"/>
      <c r="I185" s="60"/>
      <c r="J185" s="88"/>
      <c r="K185" s="89"/>
      <c r="L185" s="90"/>
      <c r="M185" s="10" t="b">
        <f t="shared" si="3"/>
        <v>0</v>
      </c>
    </row>
    <row r="186" spans="2:13" ht="22.5">
      <c r="B186" s="15">
        <v>174</v>
      </c>
      <c r="C186" s="15"/>
      <c r="D186" s="21"/>
      <c r="E186" s="60"/>
      <c r="F186" s="85"/>
      <c r="G186" s="60"/>
      <c r="H186" s="60"/>
      <c r="I186" s="60"/>
      <c r="J186" s="88"/>
      <c r="K186" s="89"/>
      <c r="L186" s="90"/>
      <c r="M186" s="10" t="b">
        <f t="shared" si="3"/>
        <v>0</v>
      </c>
    </row>
    <row r="187" spans="2:13" ht="22.5">
      <c r="B187" s="15">
        <v>175</v>
      </c>
      <c r="C187" s="15"/>
      <c r="D187" s="21"/>
      <c r="E187" s="60"/>
      <c r="F187" s="85"/>
      <c r="G187" s="60"/>
      <c r="H187" s="60"/>
      <c r="I187" s="60"/>
      <c r="J187" s="88"/>
      <c r="K187" s="89"/>
      <c r="L187" s="90"/>
      <c r="M187" s="10" t="b">
        <f t="shared" si="3"/>
        <v>0</v>
      </c>
    </row>
    <row r="188" spans="2:13" ht="22.5">
      <c r="B188" s="15">
        <v>176</v>
      </c>
      <c r="C188" s="15"/>
      <c r="D188" s="21"/>
      <c r="E188" s="60"/>
      <c r="F188" s="85"/>
      <c r="G188" s="60"/>
      <c r="H188" s="60"/>
      <c r="I188" s="60"/>
      <c r="J188" s="88"/>
      <c r="K188" s="89"/>
      <c r="L188" s="90"/>
      <c r="M188" s="10" t="b">
        <f t="shared" si="3"/>
        <v>0</v>
      </c>
    </row>
    <row r="189" spans="2:13" ht="22.5">
      <c r="B189" s="15">
        <v>177</v>
      </c>
      <c r="C189" s="15"/>
      <c r="D189" s="21"/>
      <c r="E189" s="60"/>
      <c r="F189" s="85"/>
      <c r="G189" s="60"/>
      <c r="H189" s="60"/>
      <c r="I189" s="60"/>
      <c r="J189" s="88"/>
      <c r="K189" s="89"/>
      <c r="L189" s="90"/>
      <c r="M189" s="10" t="b">
        <f t="shared" si="3"/>
        <v>0</v>
      </c>
    </row>
    <row r="190" spans="2:13" ht="22.5">
      <c r="B190" s="15">
        <v>178</v>
      </c>
      <c r="C190" s="15"/>
      <c r="D190" s="21"/>
      <c r="E190" s="60"/>
      <c r="F190" s="85"/>
      <c r="G190" s="60"/>
      <c r="H190" s="60"/>
      <c r="I190" s="60"/>
      <c r="J190" s="88"/>
      <c r="K190" s="89"/>
      <c r="L190" s="90"/>
      <c r="M190" s="10" t="b">
        <f t="shared" si="3"/>
        <v>0</v>
      </c>
    </row>
    <row r="191" spans="2:13" ht="22.5">
      <c r="B191" s="15">
        <v>179</v>
      </c>
      <c r="C191" s="15"/>
      <c r="D191" s="21"/>
      <c r="E191" s="60"/>
      <c r="F191" s="85"/>
      <c r="G191" s="60"/>
      <c r="H191" s="60"/>
      <c r="I191" s="60"/>
      <c r="J191" s="88"/>
      <c r="K191" s="89"/>
      <c r="L191" s="90"/>
      <c r="M191" s="10" t="b">
        <f t="shared" si="3"/>
        <v>0</v>
      </c>
    </row>
    <row r="192" spans="2:13" ht="22.5">
      <c r="B192" s="15">
        <v>180</v>
      </c>
      <c r="C192" s="15"/>
      <c r="D192" s="21"/>
      <c r="E192" s="60"/>
      <c r="F192" s="85"/>
      <c r="G192" s="60"/>
      <c r="H192" s="60"/>
      <c r="I192" s="60"/>
      <c r="J192" s="88"/>
      <c r="K192" s="89"/>
      <c r="L192" s="90"/>
      <c r="M192" s="10" t="b">
        <f t="shared" si="3"/>
        <v>0</v>
      </c>
    </row>
    <row r="193" spans="2:13" ht="22.5">
      <c r="B193" s="15">
        <v>181</v>
      </c>
      <c r="C193" s="15"/>
      <c r="D193" s="21"/>
      <c r="E193" s="60"/>
      <c r="F193" s="85"/>
      <c r="G193" s="60"/>
      <c r="H193" s="60"/>
      <c r="I193" s="60"/>
      <c r="J193" s="88"/>
      <c r="K193" s="89"/>
      <c r="L193" s="90"/>
      <c r="M193" s="10" t="b">
        <f t="shared" si="3"/>
        <v>0</v>
      </c>
    </row>
    <row r="194" spans="2:13" ht="22.5">
      <c r="B194" s="15">
        <v>182</v>
      </c>
      <c r="C194" s="15"/>
      <c r="D194" s="21"/>
      <c r="E194" s="60"/>
      <c r="F194" s="85"/>
      <c r="G194" s="60"/>
      <c r="H194" s="60"/>
      <c r="I194" s="60"/>
      <c r="J194" s="88"/>
      <c r="K194" s="89"/>
      <c r="L194" s="90"/>
      <c r="M194" s="10" t="b">
        <f t="shared" si="3"/>
        <v>0</v>
      </c>
    </row>
    <row r="195" spans="2:13" ht="22.5">
      <c r="B195" s="15">
        <v>183</v>
      </c>
      <c r="C195" s="15"/>
      <c r="D195" s="21"/>
      <c r="E195" s="60"/>
      <c r="F195" s="85"/>
      <c r="G195" s="60"/>
      <c r="H195" s="60"/>
      <c r="I195" s="60"/>
      <c r="J195" s="88"/>
      <c r="K195" s="89"/>
      <c r="L195" s="90"/>
      <c r="M195" s="10" t="b">
        <f t="shared" si="3"/>
        <v>0</v>
      </c>
    </row>
    <row r="196" spans="2:13" ht="22.5">
      <c r="B196" s="15">
        <v>184</v>
      </c>
      <c r="C196" s="15"/>
      <c r="D196" s="21"/>
      <c r="E196" s="60"/>
      <c r="F196" s="85"/>
      <c r="G196" s="60"/>
      <c r="H196" s="60"/>
      <c r="I196" s="60"/>
      <c r="J196" s="88"/>
      <c r="K196" s="89"/>
      <c r="L196" s="90"/>
      <c r="M196" s="10" t="b">
        <f t="shared" si="3"/>
        <v>0</v>
      </c>
    </row>
    <row r="197" spans="2:13" ht="22.5">
      <c r="B197" s="15">
        <v>185</v>
      </c>
      <c r="C197" s="15"/>
      <c r="D197" s="21"/>
      <c r="E197" s="60"/>
      <c r="F197" s="85"/>
      <c r="G197" s="60"/>
      <c r="H197" s="60"/>
      <c r="I197" s="60"/>
      <c r="J197" s="88"/>
      <c r="K197" s="89"/>
      <c r="L197" s="90"/>
      <c r="M197" s="10" t="b">
        <f t="shared" si="3"/>
        <v>0</v>
      </c>
    </row>
    <row r="198" spans="2:13" ht="22.5">
      <c r="B198" s="15">
        <v>186</v>
      </c>
      <c r="C198" s="15"/>
      <c r="D198" s="21"/>
      <c r="E198" s="60"/>
      <c r="F198" s="85"/>
      <c r="G198" s="60"/>
      <c r="H198" s="60"/>
      <c r="I198" s="60"/>
      <c r="J198" s="88"/>
      <c r="K198" s="89"/>
      <c r="L198" s="90"/>
      <c r="M198" s="10" t="b">
        <f t="shared" si="3"/>
        <v>0</v>
      </c>
    </row>
    <row r="199" spans="2:13" ht="22.5">
      <c r="B199" s="15">
        <v>187</v>
      </c>
      <c r="C199" s="15"/>
      <c r="D199" s="21"/>
      <c r="E199" s="60"/>
      <c r="F199" s="85"/>
      <c r="G199" s="60"/>
      <c r="H199" s="60"/>
      <c r="I199" s="60"/>
      <c r="J199" s="88"/>
      <c r="K199" s="89"/>
      <c r="L199" s="90"/>
      <c r="M199" s="10" t="b">
        <f t="shared" si="3"/>
        <v>0</v>
      </c>
    </row>
    <row r="200" spans="2:13" ht="22.5">
      <c r="B200" s="15">
        <v>188</v>
      </c>
      <c r="C200" s="15"/>
      <c r="D200" s="21"/>
      <c r="E200" s="60"/>
      <c r="F200" s="85"/>
      <c r="G200" s="60"/>
      <c r="H200" s="60"/>
      <c r="I200" s="60"/>
      <c r="J200" s="88"/>
      <c r="K200" s="89"/>
      <c r="L200" s="90"/>
      <c r="M200" s="10" t="b">
        <f t="shared" si="3"/>
        <v>0</v>
      </c>
    </row>
    <row r="201" spans="2:13" ht="22.5">
      <c r="B201" s="15">
        <v>189</v>
      </c>
      <c r="C201" s="15"/>
      <c r="D201" s="21"/>
      <c r="E201" s="60"/>
      <c r="F201" s="85"/>
      <c r="G201" s="60"/>
      <c r="H201" s="60"/>
      <c r="I201" s="60"/>
      <c r="J201" s="88"/>
      <c r="K201" s="89"/>
      <c r="L201" s="90"/>
      <c r="M201" s="10" t="b">
        <f t="shared" si="3"/>
        <v>0</v>
      </c>
    </row>
    <row r="202" spans="2:13" ht="22.5">
      <c r="B202" s="15">
        <v>190</v>
      </c>
      <c r="C202" s="15"/>
      <c r="D202" s="21"/>
      <c r="E202" s="60"/>
      <c r="F202" s="85"/>
      <c r="G202" s="60"/>
      <c r="H202" s="60"/>
      <c r="I202" s="60"/>
      <c r="J202" s="88"/>
      <c r="K202" s="89"/>
      <c r="L202" s="90"/>
      <c r="M202" s="10" t="b">
        <f t="shared" si="3"/>
        <v>0</v>
      </c>
    </row>
    <row r="203" spans="2:13" ht="22.5">
      <c r="B203" s="15">
        <v>191</v>
      </c>
      <c r="C203" s="15"/>
      <c r="D203" s="21"/>
      <c r="E203" s="60"/>
      <c r="F203" s="85"/>
      <c r="G203" s="60"/>
      <c r="H203" s="60"/>
      <c r="I203" s="60"/>
      <c r="J203" s="88"/>
      <c r="K203" s="89"/>
      <c r="L203" s="90"/>
      <c r="M203" s="10" t="b">
        <f t="shared" si="3"/>
        <v>0</v>
      </c>
    </row>
    <row r="204" spans="2:13" ht="22.5">
      <c r="B204" s="15">
        <v>192</v>
      </c>
      <c r="C204" s="15"/>
      <c r="D204" s="21"/>
      <c r="E204" s="60"/>
      <c r="F204" s="85"/>
      <c r="G204" s="60"/>
      <c r="H204" s="60"/>
      <c r="I204" s="60"/>
      <c r="J204" s="88"/>
      <c r="K204" s="89"/>
      <c r="L204" s="90"/>
      <c r="M204" s="10" t="b">
        <f t="shared" si="3"/>
        <v>0</v>
      </c>
    </row>
    <row r="205" spans="2:13" ht="22.5">
      <c r="B205" s="15">
        <v>193</v>
      </c>
      <c r="C205" s="15"/>
      <c r="D205" s="21"/>
      <c r="E205" s="60"/>
      <c r="F205" s="85"/>
      <c r="G205" s="60"/>
      <c r="H205" s="60"/>
      <c r="I205" s="60"/>
      <c r="J205" s="88"/>
      <c r="K205" s="89"/>
      <c r="L205" s="90"/>
      <c r="M205" s="10" t="b">
        <f t="shared" si="3"/>
        <v>0</v>
      </c>
    </row>
    <row r="206" spans="2:13" ht="22.5">
      <c r="B206" s="15">
        <v>194</v>
      </c>
      <c r="C206" s="15"/>
      <c r="D206" s="21"/>
      <c r="E206" s="60"/>
      <c r="F206" s="85"/>
      <c r="G206" s="60"/>
      <c r="H206" s="60"/>
      <c r="I206" s="60"/>
      <c r="J206" s="88"/>
      <c r="K206" s="89"/>
      <c r="L206" s="90"/>
      <c r="M206" s="10" t="b">
        <f t="shared" ref="M206:M269" si="4">IF(COUNTA(E206:G206)=0,FALSE,TRUE)</f>
        <v>0</v>
      </c>
    </row>
    <row r="207" spans="2:13" ht="22.5">
      <c r="B207" s="15">
        <v>195</v>
      </c>
      <c r="C207" s="15"/>
      <c r="D207" s="21"/>
      <c r="E207" s="60"/>
      <c r="F207" s="85"/>
      <c r="G207" s="60"/>
      <c r="H207" s="60"/>
      <c r="I207" s="60"/>
      <c r="J207" s="88"/>
      <c r="K207" s="89"/>
      <c r="L207" s="90"/>
      <c r="M207" s="10" t="b">
        <f t="shared" si="4"/>
        <v>0</v>
      </c>
    </row>
    <row r="208" spans="2:13" ht="22.5">
      <c r="B208" s="15">
        <v>196</v>
      </c>
      <c r="C208" s="15"/>
      <c r="D208" s="21"/>
      <c r="E208" s="60"/>
      <c r="F208" s="85"/>
      <c r="G208" s="60"/>
      <c r="H208" s="60"/>
      <c r="I208" s="60"/>
      <c r="J208" s="88"/>
      <c r="K208" s="89"/>
      <c r="L208" s="90"/>
      <c r="M208" s="10" t="b">
        <f t="shared" si="4"/>
        <v>0</v>
      </c>
    </row>
    <row r="209" spans="2:13" ht="22.5">
      <c r="B209" s="15">
        <v>197</v>
      </c>
      <c r="C209" s="15"/>
      <c r="D209" s="21"/>
      <c r="E209" s="60"/>
      <c r="F209" s="85"/>
      <c r="G209" s="60"/>
      <c r="H209" s="60"/>
      <c r="I209" s="60"/>
      <c r="J209" s="88"/>
      <c r="K209" s="89"/>
      <c r="L209" s="90"/>
      <c r="M209" s="10" t="b">
        <f t="shared" si="4"/>
        <v>0</v>
      </c>
    </row>
    <row r="210" spans="2:13" ht="22.5">
      <c r="B210" s="15">
        <v>198</v>
      </c>
      <c r="C210" s="15"/>
      <c r="D210" s="21"/>
      <c r="E210" s="60"/>
      <c r="F210" s="85"/>
      <c r="G210" s="60"/>
      <c r="H210" s="60"/>
      <c r="I210" s="60"/>
      <c r="J210" s="88"/>
      <c r="K210" s="89"/>
      <c r="L210" s="90"/>
      <c r="M210" s="10" t="b">
        <f t="shared" si="4"/>
        <v>0</v>
      </c>
    </row>
    <row r="211" spans="2:13" ht="22.5">
      <c r="B211" s="15">
        <v>199</v>
      </c>
      <c r="C211" s="15"/>
      <c r="D211" s="21"/>
      <c r="E211" s="60"/>
      <c r="F211" s="85"/>
      <c r="G211" s="60"/>
      <c r="H211" s="60"/>
      <c r="I211" s="60"/>
      <c r="J211" s="88"/>
      <c r="K211" s="89"/>
      <c r="L211" s="90"/>
      <c r="M211" s="10" t="b">
        <f t="shared" si="4"/>
        <v>0</v>
      </c>
    </row>
    <row r="212" spans="2:13" ht="22.5">
      <c r="B212" s="15">
        <v>200</v>
      </c>
      <c r="C212" s="15"/>
      <c r="D212" s="21"/>
      <c r="E212" s="60"/>
      <c r="F212" s="85"/>
      <c r="G212" s="60"/>
      <c r="H212" s="60"/>
      <c r="I212" s="60"/>
      <c r="J212" s="88"/>
      <c r="K212" s="89"/>
      <c r="L212" s="90"/>
      <c r="M212" s="10" t="b">
        <f t="shared" si="4"/>
        <v>0</v>
      </c>
    </row>
    <row r="213" spans="2:13" ht="22.5">
      <c r="B213" s="15">
        <v>201</v>
      </c>
      <c r="C213" s="15"/>
      <c r="D213" s="21"/>
      <c r="E213" s="60"/>
      <c r="F213" s="85"/>
      <c r="G213" s="60"/>
      <c r="H213" s="60"/>
      <c r="I213" s="60"/>
      <c r="J213" s="88"/>
      <c r="K213" s="89"/>
      <c r="L213" s="90"/>
      <c r="M213" s="10" t="b">
        <f t="shared" si="4"/>
        <v>0</v>
      </c>
    </row>
    <row r="214" spans="2:13" ht="22.5">
      <c r="B214" s="15">
        <v>202</v>
      </c>
      <c r="C214" s="15"/>
      <c r="D214" s="21"/>
      <c r="E214" s="60"/>
      <c r="F214" s="85"/>
      <c r="G214" s="60"/>
      <c r="H214" s="60"/>
      <c r="I214" s="60"/>
      <c r="J214" s="88"/>
      <c r="K214" s="89"/>
      <c r="L214" s="90"/>
      <c r="M214" s="10" t="b">
        <f t="shared" si="4"/>
        <v>0</v>
      </c>
    </row>
    <row r="215" spans="2:13" ht="22.5">
      <c r="B215" s="15">
        <v>203</v>
      </c>
      <c r="C215" s="15"/>
      <c r="D215" s="21"/>
      <c r="E215" s="60"/>
      <c r="F215" s="85"/>
      <c r="G215" s="60"/>
      <c r="H215" s="60"/>
      <c r="I215" s="60"/>
      <c r="J215" s="88"/>
      <c r="K215" s="89"/>
      <c r="L215" s="90"/>
      <c r="M215" s="10" t="b">
        <f t="shared" si="4"/>
        <v>0</v>
      </c>
    </row>
    <row r="216" spans="2:13" ht="22.5">
      <c r="B216" s="15">
        <v>204</v>
      </c>
      <c r="C216" s="15"/>
      <c r="D216" s="21"/>
      <c r="E216" s="60"/>
      <c r="F216" s="85"/>
      <c r="G216" s="60"/>
      <c r="H216" s="60"/>
      <c r="I216" s="60"/>
      <c r="J216" s="88"/>
      <c r="K216" s="89"/>
      <c r="L216" s="90"/>
      <c r="M216" s="10" t="b">
        <f t="shared" si="4"/>
        <v>0</v>
      </c>
    </row>
    <row r="217" spans="2:13" ht="22.5">
      <c r="B217" s="15">
        <v>205</v>
      </c>
      <c r="C217" s="15"/>
      <c r="D217" s="21"/>
      <c r="E217" s="60"/>
      <c r="F217" s="85"/>
      <c r="G217" s="60"/>
      <c r="H217" s="60"/>
      <c r="I217" s="60"/>
      <c r="J217" s="88"/>
      <c r="K217" s="89"/>
      <c r="L217" s="90"/>
      <c r="M217" s="10" t="b">
        <f t="shared" si="4"/>
        <v>0</v>
      </c>
    </row>
    <row r="218" spans="2:13" ht="22.5">
      <c r="B218" s="15">
        <v>206</v>
      </c>
      <c r="C218" s="15"/>
      <c r="D218" s="21"/>
      <c r="E218" s="60"/>
      <c r="F218" s="85"/>
      <c r="G218" s="60"/>
      <c r="H218" s="60"/>
      <c r="I218" s="60"/>
      <c r="J218" s="88"/>
      <c r="K218" s="89"/>
      <c r="L218" s="90"/>
      <c r="M218" s="10" t="b">
        <f t="shared" si="4"/>
        <v>0</v>
      </c>
    </row>
    <row r="219" spans="2:13" ht="22.5">
      <c r="B219" s="15">
        <v>207</v>
      </c>
      <c r="C219" s="15"/>
      <c r="D219" s="21"/>
      <c r="E219" s="60"/>
      <c r="F219" s="85"/>
      <c r="G219" s="60"/>
      <c r="H219" s="60"/>
      <c r="I219" s="60"/>
      <c r="J219" s="88"/>
      <c r="K219" s="89"/>
      <c r="L219" s="90"/>
      <c r="M219" s="10" t="b">
        <f t="shared" si="4"/>
        <v>0</v>
      </c>
    </row>
    <row r="220" spans="2:13" ht="22.5">
      <c r="B220" s="15">
        <v>208</v>
      </c>
      <c r="C220" s="15"/>
      <c r="D220" s="21"/>
      <c r="E220" s="60"/>
      <c r="F220" s="85"/>
      <c r="G220" s="60"/>
      <c r="H220" s="60"/>
      <c r="I220" s="60"/>
      <c r="J220" s="88"/>
      <c r="K220" s="89"/>
      <c r="L220" s="90"/>
      <c r="M220" s="10" t="b">
        <f t="shared" si="4"/>
        <v>0</v>
      </c>
    </row>
    <row r="221" spans="2:13" ht="22.5">
      <c r="B221" s="15">
        <v>209</v>
      </c>
      <c r="C221" s="15"/>
      <c r="D221" s="21"/>
      <c r="E221" s="60"/>
      <c r="F221" s="85"/>
      <c r="G221" s="60"/>
      <c r="H221" s="60"/>
      <c r="I221" s="60"/>
      <c r="J221" s="88"/>
      <c r="K221" s="89"/>
      <c r="L221" s="90"/>
      <c r="M221" s="10" t="b">
        <f t="shared" si="4"/>
        <v>0</v>
      </c>
    </row>
    <row r="222" spans="2:13" ht="22.5">
      <c r="B222" s="15">
        <v>210</v>
      </c>
      <c r="C222" s="15"/>
      <c r="D222" s="21"/>
      <c r="E222" s="60"/>
      <c r="F222" s="85"/>
      <c r="G222" s="60"/>
      <c r="H222" s="60"/>
      <c r="I222" s="60"/>
      <c r="J222" s="88"/>
      <c r="K222" s="89"/>
      <c r="L222" s="90"/>
      <c r="M222" s="10" t="b">
        <f t="shared" si="4"/>
        <v>0</v>
      </c>
    </row>
    <row r="223" spans="2:13" ht="22.5">
      <c r="B223" s="15">
        <v>211</v>
      </c>
      <c r="C223" s="15"/>
      <c r="D223" s="21"/>
      <c r="E223" s="60"/>
      <c r="F223" s="85"/>
      <c r="G223" s="60"/>
      <c r="H223" s="60"/>
      <c r="I223" s="60"/>
      <c r="J223" s="88"/>
      <c r="K223" s="89"/>
      <c r="L223" s="90"/>
      <c r="M223" s="10" t="b">
        <f t="shared" si="4"/>
        <v>0</v>
      </c>
    </row>
    <row r="224" spans="2:13" ht="22.5">
      <c r="B224" s="15">
        <v>212</v>
      </c>
      <c r="C224" s="15"/>
      <c r="D224" s="21"/>
      <c r="E224" s="60"/>
      <c r="F224" s="85"/>
      <c r="G224" s="60"/>
      <c r="H224" s="60"/>
      <c r="I224" s="60"/>
      <c r="J224" s="88"/>
      <c r="K224" s="89"/>
      <c r="L224" s="90"/>
      <c r="M224" s="10" t="b">
        <f t="shared" si="4"/>
        <v>0</v>
      </c>
    </row>
    <row r="225" spans="2:13" ht="22.5">
      <c r="B225" s="15">
        <v>213</v>
      </c>
      <c r="C225" s="15"/>
      <c r="D225" s="21"/>
      <c r="E225" s="60"/>
      <c r="F225" s="85"/>
      <c r="G225" s="60"/>
      <c r="H225" s="60"/>
      <c r="I225" s="60"/>
      <c r="J225" s="88"/>
      <c r="K225" s="89"/>
      <c r="L225" s="90"/>
      <c r="M225" s="10" t="b">
        <f t="shared" si="4"/>
        <v>0</v>
      </c>
    </row>
    <row r="226" spans="2:13" ht="22.5">
      <c r="B226" s="15">
        <v>214</v>
      </c>
      <c r="C226" s="15"/>
      <c r="D226" s="21"/>
      <c r="E226" s="60"/>
      <c r="F226" s="85"/>
      <c r="G226" s="60"/>
      <c r="H226" s="60"/>
      <c r="I226" s="60"/>
      <c r="J226" s="88"/>
      <c r="K226" s="89"/>
      <c r="L226" s="90"/>
      <c r="M226" s="10" t="b">
        <f t="shared" si="4"/>
        <v>0</v>
      </c>
    </row>
    <row r="227" spans="2:13" ht="22.5">
      <c r="B227" s="15">
        <v>215</v>
      </c>
      <c r="C227" s="15"/>
      <c r="D227" s="21"/>
      <c r="E227" s="60"/>
      <c r="F227" s="85"/>
      <c r="G227" s="60"/>
      <c r="H227" s="60"/>
      <c r="I227" s="60"/>
      <c r="J227" s="88"/>
      <c r="K227" s="89"/>
      <c r="L227" s="90"/>
      <c r="M227" s="10" t="b">
        <f t="shared" si="4"/>
        <v>0</v>
      </c>
    </row>
    <row r="228" spans="2:13" ht="22.5">
      <c r="B228" s="15">
        <v>216</v>
      </c>
      <c r="C228" s="15"/>
      <c r="D228" s="21"/>
      <c r="E228" s="60"/>
      <c r="F228" s="85"/>
      <c r="G228" s="60"/>
      <c r="H228" s="60"/>
      <c r="I228" s="60"/>
      <c r="J228" s="88"/>
      <c r="K228" s="89"/>
      <c r="L228" s="90"/>
      <c r="M228" s="10" t="b">
        <f t="shared" si="4"/>
        <v>0</v>
      </c>
    </row>
    <row r="229" spans="2:13" ht="22.5">
      <c r="B229" s="15">
        <v>217</v>
      </c>
      <c r="C229" s="15"/>
      <c r="D229" s="21"/>
      <c r="E229" s="60"/>
      <c r="F229" s="85"/>
      <c r="G229" s="60"/>
      <c r="H229" s="60"/>
      <c r="I229" s="60"/>
      <c r="J229" s="88"/>
      <c r="K229" s="89"/>
      <c r="L229" s="90"/>
      <c r="M229" s="10" t="b">
        <f t="shared" si="4"/>
        <v>0</v>
      </c>
    </row>
    <row r="230" spans="2:13" ht="22.5">
      <c r="B230" s="15">
        <v>218</v>
      </c>
      <c r="C230" s="15"/>
      <c r="D230" s="21"/>
      <c r="E230" s="60"/>
      <c r="F230" s="85"/>
      <c r="G230" s="60"/>
      <c r="H230" s="60"/>
      <c r="I230" s="60"/>
      <c r="J230" s="88"/>
      <c r="K230" s="89"/>
      <c r="L230" s="90"/>
      <c r="M230" s="10" t="b">
        <f t="shared" si="4"/>
        <v>0</v>
      </c>
    </row>
    <row r="231" spans="2:13" ht="22.5">
      <c r="B231" s="15">
        <v>219</v>
      </c>
      <c r="C231" s="15"/>
      <c r="D231" s="21"/>
      <c r="E231" s="60"/>
      <c r="F231" s="85"/>
      <c r="G231" s="60"/>
      <c r="H231" s="60"/>
      <c r="I231" s="60"/>
      <c r="J231" s="88"/>
      <c r="K231" s="89"/>
      <c r="L231" s="90"/>
      <c r="M231" s="10" t="b">
        <f t="shared" si="4"/>
        <v>0</v>
      </c>
    </row>
    <row r="232" spans="2:13" ht="22.5">
      <c r="B232" s="15">
        <v>220</v>
      </c>
      <c r="C232" s="15"/>
      <c r="D232" s="21"/>
      <c r="E232" s="60"/>
      <c r="F232" s="85"/>
      <c r="G232" s="60"/>
      <c r="H232" s="60"/>
      <c r="I232" s="60"/>
      <c r="J232" s="88"/>
      <c r="K232" s="89"/>
      <c r="L232" s="90"/>
      <c r="M232" s="10" t="b">
        <f t="shared" si="4"/>
        <v>0</v>
      </c>
    </row>
    <row r="233" spans="2:13" ht="22.5">
      <c r="B233" s="15">
        <v>221</v>
      </c>
      <c r="C233" s="15"/>
      <c r="D233" s="21"/>
      <c r="E233" s="60"/>
      <c r="F233" s="85"/>
      <c r="G233" s="60"/>
      <c r="H233" s="60"/>
      <c r="I233" s="60"/>
      <c r="J233" s="88"/>
      <c r="K233" s="89"/>
      <c r="L233" s="90"/>
      <c r="M233" s="10" t="b">
        <f t="shared" si="4"/>
        <v>0</v>
      </c>
    </row>
    <row r="234" spans="2:13" ht="22.5">
      <c r="B234" s="15">
        <v>222</v>
      </c>
      <c r="C234" s="15"/>
      <c r="D234" s="21"/>
      <c r="E234" s="60"/>
      <c r="F234" s="85"/>
      <c r="G234" s="60"/>
      <c r="H234" s="60"/>
      <c r="I234" s="60"/>
      <c r="J234" s="88"/>
      <c r="K234" s="89"/>
      <c r="L234" s="90"/>
      <c r="M234" s="10" t="b">
        <f t="shared" si="4"/>
        <v>0</v>
      </c>
    </row>
    <row r="235" spans="2:13" ht="22.5">
      <c r="B235" s="15">
        <v>223</v>
      </c>
      <c r="C235" s="15"/>
      <c r="D235" s="21"/>
      <c r="E235" s="60"/>
      <c r="F235" s="85"/>
      <c r="G235" s="60"/>
      <c r="H235" s="60"/>
      <c r="I235" s="60"/>
      <c r="J235" s="88"/>
      <c r="K235" s="89"/>
      <c r="L235" s="90"/>
      <c r="M235" s="10" t="b">
        <f t="shared" si="4"/>
        <v>0</v>
      </c>
    </row>
    <row r="236" spans="2:13" ht="22.5">
      <c r="B236" s="15">
        <v>224</v>
      </c>
      <c r="C236" s="15"/>
      <c r="D236" s="21"/>
      <c r="E236" s="60"/>
      <c r="F236" s="85"/>
      <c r="G236" s="60"/>
      <c r="H236" s="60"/>
      <c r="I236" s="60"/>
      <c r="J236" s="88"/>
      <c r="K236" s="89"/>
      <c r="L236" s="90"/>
      <c r="M236" s="10" t="b">
        <f t="shared" si="4"/>
        <v>0</v>
      </c>
    </row>
    <row r="237" spans="2:13" ht="22.5">
      <c r="B237" s="15">
        <v>225</v>
      </c>
      <c r="C237" s="15"/>
      <c r="D237" s="21"/>
      <c r="E237" s="60"/>
      <c r="F237" s="85"/>
      <c r="G237" s="60"/>
      <c r="H237" s="60"/>
      <c r="I237" s="60"/>
      <c r="J237" s="88"/>
      <c r="K237" s="89"/>
      <c r="L237" s="90"/>
      <c r="M237" s="10" t="b">
        <f t="shared" si="4"/>
        <v>0</v>
      </c>
    </row>
    <row r="238" spans="2:13" ht="22.5">
      <c r="B238" s="15">
        <v>226</v>
      </c>
      <c r="C238" s="15"/>
      <c r="D238" s="21"/>
      <c r="E238" s="60"/>
      <c r="F238" s="85"/>
      <c r="G238" s="60"/>
      <c r="H238" s="60"/>
      <c r="I238" s="60"/>
      <c r="J238" s="88"/>
      <c r="K238" s="89"/>
      <c r="L238" s="90"/>
      <c r="M238" s="10" t="b">
        <f t="shared" si="4"/>
        <v>0</v>
      </c>
    </row>
    <row r="239" spans="2:13" ht="22.5">
      <c r="B239" s="15">
        <v>227</v>
      </c>
      <c r="C239" s="15"/>
      <c r="D239" s="21"/>
      <c r="E239" s="60"/>
      <c r="F239" s="85"/>
      <c r="G239" s="60"/>
      <c r="H239" s="60"/>
      <c r="I239" s="60"/>
      <c r="J239" s="88"/>
      <c r="K239" s="89"/>
      <c r="L239" s="90"/>
      <c r="M239" s="10" t="b">
        <f t="shared" si="4"/>
        <v>0</v>
      </c>
    </row>
    <row r="240" spans="2:13" ht="22.5">
      <c r="B240" s="15">
        <v>228</v>
      </c>
      <c r="C240" s="15"/>
      <c r="D240" s="21"/>
      <c r="E240" s="60"/>
      <c r="F240" s="85"/>
      <c r="G240" s="60"/>
      <c r="H240" s="60"/>
      <c r="I240" s="60"/>
      <c r="J240" s="88"/>
      <c r="K240" s="89"/>
      <c r="L240" s="90"/>
      <c r="M240" s="10" t="b">
        <f t="shared" si="4"/>
        <v>0</v>
      </c>
    </row>
    <row r="241" spans="2:13" ht="22.5">
      <c r="B241" s="15">
        <v>229</v>
      </c>
      <c r="C241" s="15"/>
      <c r="D241" s="21"/>
      <c r="E241" s="60"/>
      <c r="F241" s="85"/>
      <c r="G241" s="60"/>
      <c r="H241" s="60"/>
      <c r="I241" s="60"/>
      <c r="J241" s="88"/>
      <c r="K241" s="89"/>
      <c r="L241" s="90"/>
      <c r="M241" s="10" t="b">
        <f t="shared" si="4"/>
        <v>0</v>
      </c>
    </row>
    <row r="242" spans="2:13" ht="22.5">
      <c r="B242" s="15">
        <v>230</v>
      </c>
      <c r="C242" s="15"/>
      <c r="D242" s="21"/>
      <c r="E242" s="60"/>
      <c r="F242" s="85"/>
      <c r="G242" s="60"/>
      <c r="H242" s="60"/>
      <c r="I242" s="60"/>
      <c r="J242" s="88"/>
      <c r="K242" s="89"/>
      <c r="L242" s="90"/>
      <c r="M242" s="10" t="b">
        <f t="shared" si="4"/>
        <v>0</v>
      </c>
    </row>
    <row r="243" spans="2:13" ht="22.5">
      <c r="B243" s="15">
        <v>231</v>
      </c>
      <c r="C243" s="15"/>
      <c r="D243" s="21"/>
      <c r="E243" s="60"/>
      <c r="F243" s="85"/>
      <c r="G243" s="60"/>
      <c r="H243" s="60"/>
      <c r="I243" s="60"/>
      <c r="J243" s="88"/>
      <c r="K243" s="89"/>
      <c r="L243" s="90"/>
      <c r="M243" s="10" t="b">
        <f t="shared" si="4"/>
        <v>0</v>
      </c>
    </row>
    <row r="244" spans="2:13" ht="22.5">
      <c r="B244" s="15">
        <v>232</v>
      </c>
      <c r="C244" s="15"/>
      <c r="D244" s="21"/>
      <c r="E244" s="60"/>
      <c r="F244" s="85"/>
      <c r="G244" s="60"/>
      <c r="H244" s="60"/>
      <c r="I244" s="60"/>
      <c r="J244" s="88"/>
      <c r="K244" s="89"/>
      <c r="L244" s="90"/>
      <c r="M244" s="10" t="b">
        <f t="shared" si="4"/>
        <v>0</v>
      </c>
    </row>
    <row r="245" spans="2:13" ht="22.5">
      <c r="B245" s="15">
        <v>233</v>
      </c>
      <c r="C245" s="15"/>
      <c r="D245" s="21"/>
      <c r="E245" s="60"/>
      <c r="F245" s="85"/>
      <c r="G245" s="60"/>
      <c r="H245" s="60"/>
      <c r="I245" s="60"/>
      <c r="J245" s="88"/>
      <c r="K245" s="89"/>
      <c r="L245" s="90"/>
      <c r="M245" s="10" t="b">
        <f t="shared" si="4"/>
        <v>0</v>
      </c>
    </row>
    <row r="246" spans="2:13" ht="22.5">
      <c r="B246" s="15">
        <v>234</v>
      </c>
      <c r="C246" s="15"/>
      <c r="D246" s="21"/>
      <c r="E246" s="60"/>
      <c r="F246" s="85"/>
      <c r="G246" s="60"/>
      <c r="H246" s="60"/>
      <c r="I246" s="60"/>
      <c r="J246" s="88"/>
      <c r="K246" s="89"/>
      <c r="L246" s="90"/>
      <c r="M246" s="10" t="b">
        <f t="shared" si="4"/>
        <v>0</v>
      </c>
    </row>
    <row r="247" spans="2:13" ht="22.5">
      <c r="B247" s="15">
        <v>235</v>
      </c>
      <c r="C247" s="15"/>
      <c r="D247" s="21"/>
      <c r="E247" s="60"/>
      <c r="F247" s="85"/>
      <c r="G247" s="60"/>
      <c r="H247" s="60"/>
      <c r="I247" s="60"/>
      <c r="J247" s="88"/>
      <c r="K247" s="89"/>
      <c r="L247" s="90"/>
      <c r="M247" s="10" t="b">
        <f t="shared" si="4"/>
        <v>0</v>
      </c>
    </row>
    <row r="248" spans="2:13" ht="22.5">
      <c r="B248" s="15">
        <v>236</v>
      </c>
      <c r="C248" s="15"/>
      <c r="D248" s="21"/>
      <c r="E248" s="60"/>
      <c r="F248" s="85"/>
      <c r="G248" s="60"/>
      <c r="H248" s="60"/>
      <c r="I248" s="60"/>
      <c r="J248" s="88"/>
      <c r="K248" s="89"/>
      <c r="L248" s="90"/>
      <c r="M248" s="10" t="b">
        <f t="shared" si="4"/>
        <v>0</v>
      </c>
    </row>
    <row r="249" spans="2:13" ht="22.5">
      <c r="B249" s="15">
        <v>237</v>
      </c>
      <c r="C249" s="15"/>
      <c r="D249" s="21"/>
      <c r="E249" s="60"/>
      <c r="F249" s="85"/>
      <c r="G249" s="60"/>
      <c r="H249" s="60"/>
      <c r="I249" s="60"/>
      <c r="J249" s="88"/>
      <c r="K249" s="89"/>
      <c r="L249" s="90"/>
      <c r="M249" s="10" t="b">
        <f t="shared" si="4"/>
        <v>0</v>
      </c>
    </row>
    <row r="250" spans="2:13" ht="22.5">
      <c r="B250" s="15">
        <v>238</v>
      </c>
      <c r="C250" s="15"/>
      <c r="D250" s="21"/>
      <c r="E250" s="60"/>
      <c r="F250" s="85"/>
      <c r="G250" s="60"/>
      <c r="H250" s="60"/>
      <c r="I250" s="60"/>
      <c r="J250" s="88"/>
      <c r="K250" s="89"/>
      <c r="L250" s="90"/>
      <c r="M250" s="10" t="b">
        <f t="shared" si="4"/>
        <v>0</v>
      </c>
    </row>
    <row r="251" spans="2:13" ht="22.5">
      <c r="B251" s="15">
        <v>239</v>
      </c>
      <c r="C251" s="15"/>
      <c r="D251" s="21"/>
      <c r="E251" s="60"/>
      <c r="F251" s="85"/>
      <c r="G251" s="60"/>
      <c r="H251" s="60"/>
      <c r="I251" s="60"/>
      <c r="J251" s="88"/>
      <c r="K251" s="89"/>
      <c r="L251" s="90"/>
      <c r="M251" s="10" t="b">
        <f t="shared" si="4"/>
        <v>0</v>
      </c>
    </row>
    <row r="252" spans="2:13" ht="22.5">
      <c r="B252" s="15">
        <v>240</v>
      </c>
      <c r="C252" s="15"/>
      <c r="D252" s="21"/>
      <c r="E252" s="60"/>
      <c r="F252" s="85"/>
      <c r="G252" s="60"/>
      <c r="H252" s="60"/>
      <c r="I252" s="60"/>
      <c r="J252" s="88"/>
      <c r="K252" s="89"/>
      <c r="L252" s="90"/>
      <c r="M252" s="10" t="b">
        <f t="shared" si="4"/>
        <v>0</v>
      </c>
    </row>
    <row r="253" spans="2:13" ht="22.5">
      <c r="B253" s="15">
        <v>241</v>
      </c>
      <c r="C253" s="15"/>
      <c r="D253" s="21"/>
      <c r="E253" s="60"/>
      <c r="F253" s="85"/>
      <c r="G253" s="60"/>
      <c r="H253" s="60"/>
      <c r="I253" s="60"/>
      <c r="J253" s="88"/>
      <c r="K253" s="89"/>
      <c r="L253" s="90"/>
      <c r="M253" s="10" t="b">
        <f t="shared" si="4"/>
        <v>0</v>
      </c>
    </row>
    <row r="254" spans="2:13" ht="22.5">
      <c r="B254" s="15">
        <v>242</v>
      </c>
      <c r="C254" s="15"/>
      <c r="D254" s="21"/>
      <c r="E254" s="60"/>
      <c r="F254" s="85"/>
      <c r="G254" s="60"/>
      <c r="H254" s="60"/>
      <c r="I254" s="60"/>
      <c r="J254" s="88"/>
      <c r="K254" s="89"/>
      <c r="L254" s="90"/>
      <c r="M254" s="10" t="b">
        <f t="shared" si="4"/>
        <v>0</v>
      </c>
    </row>
    <row r="255" spans="2:13" ht="22.5">
      <c r="B255" s="15">
        <v>243</v>
      </c>
      <c r="C255" s="15"/>
      <c r="D255" s="21"/>
      <c r="E255" s="60"/>
      <c r="F255" s="85"/>
      <c r="G255" s="60"/>
      <c r="H255" s="60"/>
      <c r="I255" s="60"/>
      <c r="J255" s="88"/>
      <c r="K255" s="89"/>
      <c r="L255" s="90"/>
      <c r="M255" s="10" t="b">
        <f t="shared" si="4"/>
        <v>0</v>
      </c>
    </row>
    <row r="256" spans="2:13" ht="22.5">
      <c r="B256" s="15">
        <v>244</v>
      </c>
      <c r="C256" s="15"/>
      <c r="D256" s="21"/>
      <c r="E256" s="60"/>
      <c r="F256" s="85"/>
      <c r="G256" s="60"/>
      <c r="H256" s="60"/>
      <c r="I256" s="60"/>
      <c r="J256" s="88"/>
      <c r="K256" s="89"/>
      <c r="L256" s="90"/>
      <c r="M256" s="10" t="b">
        <f t="shared" si="4"/>
        <v>0</v>
      </c>
    </row>
    <row r="257" spans="2:13" ht="22.5">
      <c r="B257" s="15">
        <v>245</v>
      </c>
      <c r="C257" s="15"/>
      <c r="D257" s="21"/>
      <c r="E257" s="60"/>
      <c r="F257" s="85"/>
      <c r="G257" s="60"/>
      <c r="H257" s="60"/>
      <c r="I257" s="60"/>
      <c r="J257" s="88"/>
      <c r="K257" s="89"/>
      <c r="L257" s="90"/>
      <c r="M257" s="10" t="b">
        <f t="shared" si="4"/>
        <v>0</v>
      </c>
    </row>
    <row r="258" spans="2:13" ht="22.5">
      <c r="B258" s="15">
        <v>246</v>
      </c>
      <c r="C258" s="15"/>
      <c r="D258" s="21"/>
      <c r="E258" s="60"/>
      <c r="F258" s="85"/>
      <c r="G258" s="60"/>
      <c r="H258" s="60"/>
      <c r="I258" s="60"/>
      <c r="J258" s="88"/>
      <c r="K258" s="89"/>
      <c r="L258" s="90"/>
      <c r="M258" s="10" t="b">
        <f t="shared" si="4"/>
        <v>0</v>
      </c>
    </row>
    <row r="259" spans="2:13" ht="22.5">
      <c r="B259" s="15">
        <v>247</v>
      </c>
      <c r="C259" s="15"/>
      <c r="D259" s="21"/>
      <c r="E259" s="60"/>
      <c r="F259" s="85"/>
      <c r="G259" s="60"/>
      <c r="H259" s="60"/>
      <c r="I259" s="60"/>
      <c r="J259" s="88"/>
      <c r="K259" s="89"/>
      <c r="L259" s="90"/>
      <c r="M259" s="10" t="b">
        <f t="shared" si="4"/>
        <v>0</v>
      </c>
    </row>
    <row r="260" spans="2:13" ht="22.5">
      <c r="B260" s="15">
        <v>248</v>
      </c>
      <c r="C260" s="15"/>
      <c r="D260" s="21"/>
      <c r="E260" s="60"/>
      <c r="F260" s="85"/>
      <c r="G260" s="60"/>
      <c r="H260" s="60"/>
      <c r="I260" s="60"/>
      <c r="J260" s="88"/>
      <c r="K260" s="89"/>
      <c r="L260" s="90"/>
      <c r="M260" s="10" t="b">
        <f t="shared" si="4"/>
        <v>0</v>
      </c>
    </row>
    <row r="261" spans="2:13" ht="22.5">
      <c r="B261" s="15">
        <v>249</v>
      </c>
      <c r="C261" s="15"/>
      <c r="D261" s="21"/>
      <c r="E261" s="60"/>
      <c r="F261" s="85"/>
      <c r="G261" s="60"/>
      <c r="H261" s="60"/>
      <c r="I261" s="60"/>
      <c r="J261" s="88"/>
      <c r="K261" s="89"/>
      <c r="L261" s="90"/>
      <c r="M261" s="10" t="b">
        <f t="shared" si="4"/>
        <v>0</v>
      </c>
    </row>
    <row r="262" spans="2:13" ht="22.5">
      <c r="B262" s="15">
        <v>250</v>
      </c>
      <c r="C262" s="15"/>
      <c r="D262" s="21"/>
      <c r="E262" s="60"/>
      <c r="F262" s="85"/>
      <c r="G262" s="60"/>
      <c r="H262" s="60"/>
      <c r="I262" s="60"/>
      <c r="J262" s="88"/>
      <c r="K262" s="89"/>
      <c r="L262" s="90"/>
      <c r="M262" s="10" t="b">
        <f t="shared" si="4"/>
        <v>0</v>
      </c>
    </row>
    <row r="263" spans="2:13" ht="22.5">
      <c r="B263" s="15">
        <v>251</v>
      </c>
      <c r="C263" s="15"/>
      <c r="D263" s="21"/>
      <c r="E263" s="60"/>
      <c r="F263" s="85"/>
      <c r="G263" s="60"/>
      <c r="H263" s="60"/>
      <c r="I263" s="60"/>
      <c r="J263" s="88"/>
      <c r="K263" s="89"/>
      <c r="L263" s="90"/>
      <c r="M263" s="10" t="b">
        <f t="shared" si="4"/>
        <v>0</v>
      </c>
    </row>
    <row r="264" spans="2:13" ht="22.5">
      <c r="B264" s="15">
        <v>252</v>
      </c>
      <c r="C264" s="15"/>
      <c r="D264" s="21"/>
      <c r="E264" s="60"/>
      <c r="F264" s="85"/>
      <c r="G264" s="60"/>
      <c r="H264" s="60"/>
      <c r="I264" s="60"/>
      <c r="J264" s="88"/>
      <c r="K264" s="89"/>
      <c r="L264" s="90"/>
      <c r="M264" s="10" t="b">
        <f t="shared" si="4"/>
        <v>0</v>
      </c>
    </row>
    <row r="265" spans="2:13" ht="22.5">
      <c r="B265" s="15">
        <v>253</v>
      </c>
      <c r="C265" s="15"/>
      <c r="D265" s="21"/>
      <c r="E265" s="60"/>
      <c r="F265" s="85"/>
      <c r="G265" s="60"/>
      <c r="H265" s="60"/>
      <c r="I265" s="60"/>
      <c r="J265" s="88"/>
      <c r="K265" s="89"/>
      <c r="L265" s="90"/>
      <c r="M265" s="10" t="b">
        <f t="shared" si="4"/>
        <v>0</v>
      </c>
    </row>
    <row r="266" spans="2:13" ht="22.5">
      <c r="B266" s="15">
        <v>254</v>
      </c>
      <c r="C266" s="15"/>
      <c r="D266" s="21"/>
      <c r="E266" s="60"/>
      <c r="F266" s="85"/>
      <c r="G266" s="60"/>
      <c r="H266" s="60"/>
      <c r="I266" s="60"/>
      <c r="J266" s="88"/>
      <c r="K266" s="89"/>
      <c r="L266" s="90"/>
      <c r="M266" s="10" t="b">
        <f t="shared" si="4"/>
        <v>0</v>
      </c>
    </row>
    <row r="267" spans="2:13" ht="22.5">
      <c r="B267" s="15">
        <v>255</v>
      </c>
      <c r="C267" s="15"/>
      <c r="D267" s="21"/>
      <c r="E267" s="60"/>
      <c r="F267" s="85"/>
      <c r="G267" s="60"/>
      <c r="H267" s="60"/>
      <c r="I267" s="60"/>
      <c r="J267" s="88"/>
      <c r="K267" s="89"/>
      <c r="L267" s="90"/>
      <c r="M267" s="10" t="b">
        <f t="shared" si="4"/>
        <v>0</v>
      </c>
    </row>
    <row r="268" spans="2:13" ht="22.5">
      <c r="B268" s="15">
        <v>256</v>
      </c>
      <c r="C268" s="15"/>
      <c r="D268" s="21"/>
      <c r="E268" s="60"/>
      <c r="F268" s="85"/>
      <c r="G268" s="60"/>
      <c r="H268" s="60"/>
      <c r="I268" s="60"/>
      <c r="J268" s="88"/>
      <c r="K268" s="89"/>
      <c r="L268" s="90"/>
      <c r="M268" s="10" t="b">
        <f t="shared" si="4"/>
        <v>0</v>
      </c>
    </row>
    <row r="269" spans="2:13" ht="22.5">
      <c r="B269" s="15">
        <v>257</v>
      </c>
      <c r="C269" s="15"/>
      <c r="D269" s="21"/>
      <c r="E269" s="60"/>
      <c r="F269" s="85"/>
      <c r="G269" s="60"/>
      <c r="H269" s="60"/>
      <c r="I269" s="60"/>
      <c r="J269" s="88"/>
      <c r="K269" s="89"/>
      <c r="L269" s="90"/>
      <c r="M269" s="10" t="b">
        <f t="shared" si="4"/>
        <v>0</v>
      </c>
    </row>
    <row r="270" spans="2:13" ht="22.5">
      <c r="B270" s="15">
        <v>258</v>
      </c>
      <c r="C270" s="15"/>
      <c r="D270" s="21"/>
      <c r="E270" s="60"/>
      <c r="F270" s="85"/>
      <c r="G270" s="60"/>
      <c r="H270" s="60"/>
      <c r="I270" s="60"/>
      <c r="J270" s="88"/>
      <c r="K270" s="89"/>
      <c r="L270" s="90"/>
      <c r="M270" s="10" t="b">
        <f t="shared" ref="M270:M333" si="5">IF(COUNTA(E270:G270)=0,FALSE,TRUE)</f>
        <v>0</v>
      </c>
    </row>
    <row r="271" spans="2:13" ht="22.5">
      <c r="B271" s="15">
        <v>259</v>
      </c>
      <c r="C271" s="15"/>
      <c r="D271" s="21"/>
      <c r="E271" s="60"/>
      <c r="F271" s="85"/>
      <c r="G271" s="60"/>
      <c r="H271" s="60"/>
      <c r="I271" s="60"/>
      <c r="J271" s="88"/>
      <c r="K271" s="89"/>
      <c r="L271" s="90"/>
      <c r="M271" s="10" t="b">
        <f t="shared" si="5"/>
        <v>0</v>
      </c>
    </row>
    <row r="272" spans="2:13" ht="22.5">
      <c r="B272" s="15">
        <v>260</v>
      </c>
      <c r="C272" s="15"/>
      <c r="D272" s="21"/>
      <c r="E272" s="60"/>
      <c r="F272" s="85"/>
      <c r="G272" s="60"/>
      <c r="H272" s="60"/>
      <c r="I272" s="60"/>
      <c r="J272" s="88"/>
      <c r="K272" s="89"/>
      <c r="L272" s="90"/>
      <c r="M272" s="10" t="b">
        <f t="shared" si="5"/>
        <v>0</v>
      </c>
    </row>
    <row r="273" spans="2:13" ht="22.5">
      <c r="B273" s="15">
        <v>261</v>
      </c>
      <c r="C273" s="15"/>
      <c r="D273" s="21"/>
      <c r="E273" s="60"/>
      <c r="F273" s="85"/>
      <c r="G273" s="60"/>
      <c r="H273" s="60"/>
      <c r="I273" s="60"/>
      <c r="J273" s="88"/>
      <c r="K273" s="89"/>
      <c r="L273" s="90"/>
      <c r="M273" s="10" t="b">
        <f t="shared" si="5"/>
        <v>0</v>
      </c>
    </row>
    <row r="274" spans="2:13" ht="22.5">
      <c r="B274" s="15">
        <v>262</v>
      </c>
      <c r="C274" s="15"/>
      <c r="D274" s="21"/>
      <c r="E274" s="60"/>
      <c r="F274" s="85"/>
      <c r="G274" s="60"/>
      <c r="H274" s="60"/>
      <c r="I274" s="60"/>
      <c r="J274" s="88"/>
      <c r="K274" s="89"/>
      <c r="L274" s="90"/>
      <c r="M274" s="10" t="b">
        <f t="shared" si="5"/>
        <v>0</v>
      </c>
    </row>
    <row r="275" spans="2:13" ht="22.5">
      <c r="B275" s="15">
        <v>263</v>
      </c>
      <c r="C275" s="15"/>
      <c r="D275" s="21"/>
      <c r="E275" s="60"/>
      <c r="F275" s="85"/>
      <c r="G275" s="60"/>
      <c r="H275" s="60"/>
      <c r="I275" s="60"/>
      <c r="J275" s="88"/>
      <c r="K275" s="89"/>
      <c r="L275" s="90"/>
      <c r="M275" s="10" t="b">
        <f t="shared" si="5"/>
        <v>0</v>
      </c>
    </row>
    <row r="276" spans="2:13" ht="22.5">
      <c r="B276" s="15">
        <v>264</v>
      </c>
      <c r="C276" s="15"/>
      <c r="D276" s="21"/>
      <c r="E276" s="60"/>
      <c r="F276" s="85"/>
      <c r="G276" s="60"/>
      <c r="H276" s="60"/>
      <c r="I276" s="60"/>
      <c r="J276" s="88"/>
      <c r="K276" s="89"/>
      <c r="L276" s="90"/>
      <c r="M276" s="10" t="b">
        <f t="shared" si="5"/>
        <v>0</v>
      </c>
    </row>
    <row r="277" spans="2:13" ht="22.5">
      <c r="B277" s="15">
        <v>265</v>
      </c>
      <c r="C277" s="15"/>
      <c r="D277" s="21"/>
      <c r="E277" s="60"/>
      <c r="F277" s="85"/>
      <c r="G277" s="60"/>
      <c r="H277" s="60"/>
      <c r="I277" s="60"/>
      <c r="J277" s="88"/>
      <c r="K277" s="89"/>
      <c r="L277" s="90"/>
      <c r="M277" s="10" t="b">
        <f t="shared" si="5"/>
        <v>0</v>
      </c>
    </row>
    <row r="278" spans="2:13" ht="22.5">
      <c r="B278" s="15">
        <v>266</v>
      </c>
      <c r="C278" s="15"/>
      <c r="D278" s="21"/>
      <c r="E278" s="60"/>
      <c r="F278" s="85"/>
      <c r="G278" s="60"/>
      <c r="H278" s="60"/>
      <c r="I278" s="60"/>
      <c r="J278" s="88"/>
      <c r="K278" s="89"/>
      <c r="L278" s="90"/>
      <c r="M278" s="10" t="b">
        <f t="shared" si="5"/>
        <v>0</v>
      </c>
    </row>
    <row r="279" spans="2:13" ht="22.5">
      <c r="B279" s="15">
        <v>267</v>
      </c>
      <c r="C279" s="15"/>
      <c r="D279" s="21"/>
      <c r="E279" s="60"/>
      <c r="F279" s="85"/>
      <c r="G279" s="60"/>
      <c r="H279" s="60"/>
      <c r="I279" s="60"/>
      <c r="J279" s="88"/>
      <c r="K279" s="89"/>
      <c r="L279" s="90"/>
      <c r="M279" s="10" t="b">
        <f t="shared" si="5"/>
        <v>0</v>
      </c>
    </row>
    <row r="280" spans="2:13" ht="22.5">
      <c r="B280" s="15">
        <v>268</v>
      </c>
      <c r="C280" s="15"/>
      <c r="D280" s="21"/>
      <c r="E280" s="60"/>
      <c r="F280" s="85"/>
      <c r="G280" s="60"/>
      <c r="H280" s="60"/>
      <c r="I280" s="60"/>
      <c r="J280" s="88"/>
      <c r="K280" s="89"/>
      <c r="L280" s="90"/>
      <c r="M280" s="10" t="b">
        <f t="shared" si="5"/>
        <v>0</v>
      </c>
    </row>
    <row r="281" spans="2:13" ht="22.5">
      <c r="B281" s="15">
        <v>269</v>
      </c>
      <c r="C281" s="15"/>
      <c r="D281" s="21"/>
      <c r="E281" s="60"/>
      <c r="F281" s="85"/>
      <c r="G281" s="60"/>
      <c r="H281" s="60"/>
      <c r="I281" s="60"/>
      <c r="J281" s="88"/>
      <c r="K281" s="89"/>
      <c r="L281" s="90"/>
      <c r="M281" s="10" t="b">
        <f t="shared" si="5"/>
        <v>0</v>
      </c>
    </row>
    <row r="282" spans="2:13" ht="22.5">
      <c r="B282" s="15">
        <v>270</v>
      </c>
      <c r="C282" s="15"/>
      <c r="D282" s="21"/>
      <c r="E282" s="60"/>
      <c r="F282" s="85"/>
      <c r="G282" s="60"/>
      <c r="H282" s="60"/>
      <c r="I282" s="60"/>
      <c r="J282" s="88"/>
      <c r="K282" s="89"/>
      <c r="L282" s="90"/>
      <c r="M282" s="10" t="b">
        <f t="shared" si="5"/>
        <v>0</v>
      </c>
    </row>
    <row r="283" spans="2:13" ht="22.5">
      <c r="B283" s="15">
        <v>271</v>
      </c>
      <c r="C283" s="15"/>
      <c r="D283" s="21"/>
      <c r="E283" s="60"/>
      <c r="F283" s="85"/>
      <c r="G283" s="60"/>
      <c r="H283" s="60"/>
      <c r="I283" s="60"/>
      <c r="J283" s="88"/>
      <c r="K283" s="89"/>
      <c r="L283" s="90"/>
      <c r="M283" s="10" t="b">
        <f t="shared" si="5"/>
        <v>0</v>
      </c>
    </row>
    <row r="284" spans="2:13" ht="22.5">
      <c r="B284" s="15">
        <v>272</v>
      </c>
      <c r="C284" s="15"/>
      <c r="D284" s="21"/>
      <c r="E284" s="60"/>
      <c r="F284" s="85"/>
      <c r="G284" s="60"/>
      <c r="H284" s="60"/>
      <c r="I284" s="60"/>
      <c r="J284" s="88"/>
      <c r="K284" s="89"/>
      <c r="L284" s="90"/>
      <c r="M284" s="10" t="b">
        <f t="shared" si="5"/>
        <v>0</v>
      </c>
    </row>
    <row r="285" spans="2:13" ht="22.5">
      <c r="B285" s="15">
        <v>273</v>
      </c>
      <c r="C285" s="15"/>
      <c r="D285" s="21"/>
      <c r="E285" s="60"/>
      <c r="F285" s="85"/>
      <c r="G285" s="60"/>
      <c r="H285" s="60"/>
      <c r="I285" s="60"/>
      <c r="J285" s="88"/>
      <c r="K285" s="89"/>
      <c r="L285" s="90"/>
      <c r="M285" s="10" t="b">
        <f t="shared" si="5"/>
        <v>0</v>
      </c>
    </row>
    <row r="286" spans="2:13" ht="22.5">
      <c r="B286" s="15">
        <v>274</v>
      </c>
      <c r="C286" s="15"/>
      <c r="D286" s="21"/>
      <c r="E286" s="60"/>
      <c r="F286" s="85"/>
      <c r="G286" s="60"/>
      <c r="H286" s="60"/>
      <c r="I286" s="60"/>
      <c r="J286" s="88"/>
      <c r="K286" s="89"/>
      <c r="L286" s="90"/>
      <c r="M286" s="10" t="b">
        <f t="shared" si="5"/>
        <v>0</v>
      </c>
    </row>
    <row r="287" spans="2:13" ht="22.5">
      <c r="B287" s="15">
        <v>275</v>
      </c>
      <c r="C287" s="15"/>
      <c r="D287" s="21"/>
      <c r="E287" s="60"/>
      <c r="F287" s="85"/>
      <c r="G287" s="60"/>
      <c r="H287" s="60"/>
      <c r="I287" s="60"/>
      <c r="J287" s="88"/>
      <c r="K287" s="89"/>
      <c r="L287" s="90"/>
      <c r="M287" s="10" t="b">
        <f t="shared" si="5"/>
        <v>0</v>
      </c>
    </row>
    <row r="288" spans="2:13" ht="22.5">
      <c r="B288" s="15">
        <v>276</v>
      </c>
      <c r="C288" s="15"/>
      <c r="D288" s="21"/>
      <c r="E288" s="60"/>
      <c r="F288" s="85"/>
      <c r="G288" s="60"/>
      <c r="H288" s="60"/>
      <c r="I288" s="60"/>
      <c r="J288" s="88"/>
      <c r="K288" s="89"/>
      <c r="L288" s="90"/>
      <c r="M288" s="10" t="b">
        <f t="shared" si="5"/>
        <v>0</v>
      </c>
    </row>
    <row r="289" spans="2:13" ht="22.5">
      <c r="B289" s="15">
        <v>277</v>
      </c>
      <c r="C289" s="15"/>
      <c r="D289" s="21"/>
      <c r="E289" s="60"/>
      <c r="F289" s="85"/>
      <c r="G289" s="60"/>
      <c r="H289" s="60"/>
      <c r="I289" s="60"/>
      <c r="J289" s="88"/>
      <c r="K289" s="89"/>
      <c r="L289" s="90"/>
      <c r="M289" s="10" t="b">
        <f t="shared" si="5"/>
        <v>0</v>
      </c>
    </row>
    <row r="290" spans="2:13" ht="22.5">
      <c r="B290" s="15">
        <v>278</v>
      </c>
      <c r="C290" s="15"/>
      <c r="D290" s="21"/>
      <c r="E290" s="60"/>
      <c r="F290" s="85"/>
      <c r="G290" s="60"/>
      <c r="H290" s="60"/>
      <c r="I290" s="60"/>
      <c r="J290" s="88"/>
      <c r="K290" s="89"/>
      <c r="L290" s="90"/>
      <c r="M290" s="10" t="b">
        <f t="shared" si="5"/>
        <v>0</v>
      </c>
    </row>
    <row r="291" spans="2:13" ht="22.5">
      <c r="B291" s="15">
        <v>279</v>
      </c>
      <c r="C291" s="15"/>
      <c r="D291" s="21"/>
      <c r="E291" s="60"/>
      <c r="F291" s="85"/>
      <c r="G291" s="60"/>
      <c r="H291" s="60"/>
      <c r="I291" s="60"/>
      <c r="J291" s="88"/>
      <c r="K291" s="89"/>
      <c r="L291" s="90"/>
      <c r="M291" s="10" t="b">
        <f t="shared" si="5"/>
        <v>0</v>
      </c>
    </row>
    <row r="292" spans="2:13" ht="22.5">
      <c r="B292" s="15">
        <v>280</v>
      </c>
      <c r="C292" s="15"/>
      <c r="D292" s="21"/>
      <c r="E292" s="60"/>
      <c r="F292" s="85"/>
      <c r="G292" s="60"/>
      <c r="H292" s="60"/>
      <c r="I292" s="60"/>
      <c r="J292" s="88"/>
      <c r="K292" s="89"/>
      <c r="L292" s="90"/>
      <c r="M292" s="10" t="b">
        <f t="shared" si="5"/>
        <v>0</v>
      </c>
    </row>
    <row r="293" spans="2:13" ht="22.5">
      <c r="B293" s="15">
        <v>281</v>
      </c>
      <c r="C293" s="15"/>
      <c r="D293" s="21"/>
      <c r="E293" s="60"/>
      <c r="F293" s="85"/>
      <c r="G293" s="60"/>
      <c r="H293" s="60"/>
      <c r="I293" s="60"/>
      <c r="J293" s="88"/>
      <c r="K293" s="89"/>
      <c r="L293" s="90"/>
      <c r="M293" s="10" t="b">
        <f t="shared" si="5"/>
        <v>0</v>
      </c>
    </row>
    <row r="294" spans="2:13" ht="22.5">
      <c r="B294" s="15">
        <v>282</v>
      </c>
      <c r="C294" s="15"/>
      <c r="D294" s="21"/>
      <c r="E294" s="60"/>
      <c r="F294" s="85"/>
      <c r="G294" s="60"/>
      <c r="H294" s="60"/>
      <c r="I294" s="60"/>
      <c r="J294" s="88"/>
      <c r="K294" s="89"/>
      <c r="L294" s="90"/>
      <c r="M294" s="10" t="b">
        <f t="shared" si="5"/>
        <v>0</v>
      </c>
    </row>
    <row r="295" spans="2:13" ht="22.5">
      <c r="B295" s="15">
        <v>283</v>
      </c>
      <c r="C295" s="15"/>
      <c r="D295" s="21"/>
      <c r="E295" s="60"/>
      <c r="F295" s="85"/>
      <c r="G295" s="60"/>
      <c r="H295" s="60"/>
      <c r="I295" s="60"/>
      <c r="J295" s="88"/>
      <c r="K295" s="89"/>
      <c r="L295" s="90"/>
      <c r="M295" s="10" t="b">
        <f t="shared" si="5"/>
        <v>0</v>
      </c>
    </row>
    <row r="296" spans="2:13" ht="22.5">
      <c r="B296" s="15">
        <v>284</v>
      </c>
      <c r="C296" s="15"/>
      <c r="D296" s="21"/>
      <c r="E296" s="60"/>
      <c r="F296" s="85"/>
      <c r="G296" s="60"/>
      <c r="H296" s="60"/>
      <c r="I296" s="60"/>
      <c r="J296" s="88"/>
      <c r="K296" s="89"/>
      <c r="L296" s="90"/>
      <c r="M296" s="10" t="b">
        <f t="shared" si="5"/>
        <v>0</v>
      </c>
    </row>
    <row r="297" spans="2:13" ht="22.5">
      <c r="B297" s="15">
        <v>285</v>
      </c>
      <c r="C297" s="15"/>
      <c r="D297" s="21"/>
      <c r="E297" s="60"/>
      <c r="F297" s="85"/>
      <c r="G297" s="60"/>
      <c r="H297" s="60"/>
      <c r="I297" s="60"/>
      <c r="J297" s="88"/>
      <c r="K297" s="89"/>
      <c r="L297" s="90"/>
      <c r="M297" s="10" t="b">
        <f t="shared" si="5"/>
        <v>0</v>
      </c>
    </row>
    <row r="298" spans="2:13" ht="22.5">
      <c r="B298" s="15">
        <v>286</v>
      </c>
      <c r="C298" s="15"/>
      <c r="D298" s="21"/>
      <c r="E298" s="60"/>
      <c r="F298" s="85"/>
      <c r="G298" s="60"/>
      <c r="H298" s="60"/>
      <c r="I298" s="60"/>
      <c r="J298" s="88"/>
      <c r="K298" s="89"/>
      <c r="L298" s="90"/>
      <c r="M298" s="10" t="b">
        <f t="shared" si="5"/>
        <v>0</v>
      </c>
    </row>
    <row r="299" spans="2:13" ht="22.5">
      <c r="B299" s="15">
        <v>287</v>
      </c>
      <c r="C299" s="15"/>
      <c r="D299" s="21"/>
      <c r="E299" s="60"/>
      <c r="F299" s="85"/>
      <c r="G299" s="60"/>
      <c r="H299" s="60"/>
      <c r="I299" s="60"/>
      <c r="J299" s="88"/>
      <c r="K299" s="89"/>
      <c r="L299" s="90"/>
      <c r="M299" s="10" t="b">
        <f t="shared" si="5"/>
        <v>0</v>
      </c>
    </row>
    <row r="300" spans="2:13" ht="22.5">
      <c r="B300" s="15">
        <v>288</v>
      </c>
      <c r="C300" s="15"/>
      <c r="D300" s="21"/>
      <c r="E300" s="60"/>
      <c r="F300" s="85"/>
      <c r="G300" s="60"/>
      <c r="H300" s="60"/>
      <c r="I300" s="60"/>
      <c r="J300" s="88"/>
      <c r="K300" s="89"/>
      <c r="L300" s="90"/>
      <c r="M300" s="10" t="b">
        <f t="shared" si="5"/>
        <v>0</v>
      </c>
    </row>
    <row r="301" spans="2:13" ht="22.5">
      <c r="B301" s="15">
        <v>289</v>
      </c>
      <c r="C301" s="15"/>
      <c r="D301" s="21"/>
      <c r="E301" s="60"/>
      <c r="F301" s="85"/>
      <c r="G301" s="60"/>
      <c r="H301" s="60"/>
      <c r="I301" s="60"/>
      <c r="J301" s="88"/>
      <c r="K301" s="89"/>
      <c r="L301" s="90"/>
      <c r="M301" s="10" t="b">
        <f t="shared" si="5"/>
        <v>0</v>
      </c>
    </row>
    <row r="302" spans="2:13" ht="22.5">
      <c r="B302" s="15">
        <v>290</v>
      </c>
      <c r="C302" s="15"/>
      <c r="D302" s="21"/>
      <c r="E302" s="60"/>
      <c r="F302" s="85"/>
      <c r="G302" s="60"/>
      <c r="H302" s="60"/>
      <c r="I302" s="60"/>
      <c r="J302" s="88"/>
      <c r="K302" s="89"/>
      <c r="L302" s="90"/>
      <c r="M302" s="10" t="b">
        <f t="shared" si="5"/>
        <v>0</v>
      </c>
    </row>
    <row r="303" spans="2:13" ht="22.5">
      <c r="B303" s="15">
        <v>291</v>
      </c>
      <c r="C303" s="15"/>
      <c r="D303" s="21"/>
      <c r="E303" s="60"/>
      <c r="F303" s="85"/>
      <c r="G303" s="60"/>
      <c r="H303" s="60"/>
      <c r="I303" s="60"/>
      <c r="J303" s="88"/>
      <c r="K303" s="89"/>
      <c r="L303" s="90"/>
      <c r="M303" s="10" t="b">
        <f t="shared" si="5"/>
        <v>0</v>
      </c>
    </row>
    <row r="304" spans="2:13" ht="22.5">
      <c r="B304" s="15">
        <v>292</v>
      </c>
      <c r="C304" s="15"/>
      <c r="D304" s="21"/>
      <c r="E304" s="60"/>
      <c r="F304" s="85"/>
      <c r="G304" s="60"/>
      <c r="H304" s="60"/>
      <c r="I304" s="60"/>
      <c r="J304" s="88"/>
      <c r="K304" s="89"/>
      <c r="L304" s="90"/>
      <c r="M304" s="10" t="b">
        <f t="shared" si="5"/>
        <v>0</v>
      </c>
    </row>
    <row r="305" spans="2:13" ht="22.5">
      <c r="B305" s="15">
        <v>293</v>
      </c>
      <c r="C305" s="15"/>
      <c r="D305" s="21"/>
      <c r="E305" s="60"/>
      <c r="F305" s="85"/>
      <c r="G305" s="60"/>
      <c r="H305" s="60"/>
      <c r="I305" s="60"/>
      <c r="J305" s="88"/>
      <c r="K305" s="89"/>
      <c r="L305" s="90"/>
      <c r="M305" s="10" t="b">
        <f t="shared" si="5"/>
        <v>0</v>
      </c>
    </row>
    <row r="306" spans="2:13" ht="22.5">
      <c r="B306" s="15">
        <v>294</v>
      </c>
      <c r="C306" s="15"/>
      <c r="D306" s="21"/>
      <c r="E306" s="60"/>
      <c r="F306" s="85"/>
      <c r="G306" s="60"/>
      <c r="H306" s="60"/>
      <c r="I306" s="60"/>
      <c r="J306" s="88"/>
      <c r="K306" s="89"/>
      <c r="L306" s="90"/>
      <c r="M306" s="10" t="b">
        <f t="shared" si="5"/>
        <v>0</v>
      </c>
    </row>
    <row r="307" spans="2:13" ht="22.5">
      <c r="B307" s="15">
        <v>295</v>
      </c>
      <c r="C307" s="15"/>
      <c r="D307" s="21"/>
      <c r="E307" s="60"/>
      <c r="F307" s="85"/>
      <c r="G307" s="60"/>
      <c r="H307" s="60"/>
      <c r="I307" s="60"/>
      <c r="J307" s="88"/>
      <c r="K307" s="89"/>
      <c r="L307" s="90"/>
      <c r="M307" s="10" t="b">
        <f t="shared" si="5"/>
        <v>0</v>
      </c>
    </row>
    <row r="308" spans="2:13" ht="22.5">
      <c r="B308" s="15">
        <v>296</v>
      </c>
      <c r="C308" s="15"/>
      <c r="D308" s="21"/>
      <c r="E308" s="60"/>
      <c r="F308" s="85"/>
      <c r="G308" s="60"/>
      <c r="H308" s="60"/>
      <c r="I308" s="60"/>
      <c r="J308" s="88"/>
      <c r="K308" s="89"/>
      <c r="L308" s="90"/>
      <c r="M308" s="10" t="b">
        <f t="shared" si="5"/>
        <v>0</v>
      </c>
    </row>
    <row r="309" spans="2:13" ht="22.5">
      <c r="B309" s="15">
        <v>297</v>
      </c>
      <c r="C309" s="15"/>
      <c r="D309" s="21"/>
      <c r="E309" s="60"/>
      <c r="F309" s="85"/>
      <c r="G309" s="60"/>
      <c r="H309" s="60"/>
      <c r="I309" s="60"/>
      <c r="J309" s="88"/>
      <c r="K309" s="89"/>
      <c r="L309" s="90"/>
      <c r="M309" s="10" t="b">
        <f t="shared" si="5"/>
        <v>0</v>
      </c>
    </row>
    <row r="310" spans="2:13" ht="22.5">
      <c r="B310" s="15">
        <v>298</v>
      </c>
      <c r="C310" s="15"/>
      <c r="D310" s="21"/>
      <c r="E310" s="60"/>
      <c r="F310" s="85"/>
      <c r="G310" s="60"/>
      <c r="H310" s="60"/>
      <c r="I310" s="60"/>
      <c r="J310" s="88"/>
      <c r="K310" s="89"/>
      <c r="L310" s="90"/>
      <c r="M310" s="10" t="b">
        <f t="shared" si="5"/>
        <v>0</v>
      </c>
    </row>
    <row r="311" spans="2:13" ht="22.5">
      <c r="B311" s="15">
        <v>299</v>
      </c>
      <c r="C311" s="15"/>
      <c r="D311" s="21"/>
      <c r="E311" s="60"/>
      <c r="F311" s="85"/>
      <c r="G311" s="60"/>
      <c r="H311" s="60"/>
      <c r="I311" s="60"/>
      <c r="J311" s="88"/>
      <c r="K311" s="89"/>
      <c r="L311" s="90"/>
      <c r="M311" s="10" t="b">
        <f t="shared" si="5"/>
        <v>0</v>
      </c>
    </row>
    <row r="312" spans="2:13" ht="22.5">
      <c r="B312" s="15">
        <v>300</v>
      </c>
      <c r="C312" s="15"/>
      <c r="D312" s="21"/>
      <c r="E312" s="60"/>
      <c r="F312" s="85"/>
      <c r="G312" s="60"/>
      <c r="H312" s="60"/>
      <c r="I312" s="60"/>
      <c r="J312" s="88"/>
      <c r="K312" s="89"/>
      <c r="L312" s="90"/>
      <c r="M312" s="10" t="b">
        <f t="shared" si="5"/>
        <v>0</v>
      </c>
    </row>
    <row r="313" spans="2:13" ht="22.5">
      <c r="B313" s="15">
        <v>301</v>
      </c>
      <c r="C313" s="15"/>
      <c r="D313" s="21"/>
      <c r="E313" s="60"/>
      <c r="F313" s="85"/>
      <c r="G313" s="60"/>
      <c r="H313" s="60"/>
      <c r="I313" s="60"/>
      <c r="J313" s="88"/>
      <c r="K313" s="89"/>
      <c r="L313" s="90"/>
      <c r="M313" s="10" t="b">
        <f t="shared" si="5"/>
        <v>0</v>
      </c>
    </row>
    <row r="314" spans="2:13" ht="22.5">
      <c r="B314" s="15">
        <v>302</v>
      </c>
      <c r="C314" s="15"/>
      <c r="D314" s="21"/>
      <c r="E314" s="60"/>
      <c r="F314" s="85"/>
      <c r="G314" s="60"/>
      <c r="H314" s="60"/>
      <c r="I314" s="60"/>
      <c r="J314" s="88"/>
      <c r="K314" s="89"/>
      <c r="L314" s="90"/>
      <c r="M314" s="10" t="b">
        <f t="shared" si="5"/>
        <v>0</v>
      </c>
    </row>
    <row r="315" spans="2:13" ht="22.5">
      <c r="B315" s="15">
        <v>303</v>
      </c>
      <c r="C315" s="15"/>
      <c r="D315" s="21"/>
      <c r="E315" s="60"/>
      <c r="F315" s="85"/>
      <c r="G315" s="60"/>
      <c r="H315" s="60"/>
      <c r="I315" s="60"/>
      <c r="J315" s="88"/>
      <c r="K315" s="89"/>
      <c r="L315" s="90"/>
      <c r="M315" s="10" t="b">
        <f t="shared" si="5"/>
        <v>0</v>
      </c>
    </row>
    <row r="316" spans="2:13" ht="22.5">
      <c r="B316" s="15">
        <v>304</v>
      </c>
      <c r="C316" s="15"/>
      <c r="D316" s="21"/>
      <c r="E316" s="60"/>
      <c r="F316" s="85"/>
      <c r="G316" s="60"/>
      <c r="H316" s="60"/>
      <c r="I316" s="60"/>
      <c r="J316" s="88"/>
      <c r="K316" s="89"/>
      <c r="L316" s="90"/>
      <c r="M316" s="10" t="b">
        <f t="shared" si="5"/>
        <v>0</v>
      </c>
    </row>
    <row r="317" spans="2:13" ht="22.5">
      <c r="B317" s="15">
        <v>305</v>
      </c>
      <c r="C317" s="15"/>
      <c r="D317" s="21"/>
      <c r="E317" s="60"/>
      <c r="F317" s="85"/>
      <c r="G317" s="60"/>
      <c r="H317" s="60"/>
      <c r="I317" s="60"/>
      <c r="J317" s="88"/>
      <c r="K317" s="89"/>
      <c r="L317" s="90"/>
      <c r="M317" s="10" t="b">
        <f t="shared" si="5"/>
        <v>0</v>
      </c>
    </row>
    <row r="318" spans="2:13" ht="22.5">
      <c r="B318" s="15">
        <v>306</v>
      </c>
      <c r="C318" s="15"/>
      <c r="D318" s="21"/>
      <c r="E318" s="60"/>
      <c r="F318" s="85"/>
      <c r="G318" s="60"/>
      <c r="H318" s="60"/>
      <c r="I318" s="60"/>
      <c r="J318" s="88"/>
      <c r="K318" s="89"/>
      <c r="L318" s="90"/>
      <c r="M318" s="10" t="b">
        <f t="shared" si="5"/>
        <v>0</v>
      </c>
    </row>
    <row r="319" spans="2:13" ht="22.5">
      <c r="B319" s="15">
        <v>307</v>
      </c>
      <c r="C319" s="15"/>
      <c r="D319" s="21"/>
      <c r="E319" s="60"/>
      <c r="F319" s="85"/>
      <c r="G319" s="60"/>
      <c r="H319" s="60"/>
      <c r="I319" s="60"/>
      <c r="J319" s="88"/>
      <c r="K319" s="89"/>
      <c r="L319" s="90"/>
      <c r="M319" s="10" t="b">
        <f t="shared" si="5"/>
        <v>0</v>
      </c>
    </row>
    <row r="320" spans="2:13" ht="22.5">
      <c r="B320" s="15">
        <v>308</v>
      </c>
      <c r="C320" s="15"/>
      <c r="D320" s="21"/>
      <c r="E320" s="60"/>
      <c r="F320" s="85"/>
      <c r="G320" s="60"/>
      <c r="H320" s="60"/>
      <c r="I320" s="60"/>
      <c r="J320" s="88"/>
      <c r="K320" s="89"/>
      <c r="L320" s="90"/>
      <c r="M320" s="10" t="b">
        <f t="shared" si="5"/>
        <v>0</v>
      </c>
    </row>
    <row r="321" spans="2:13" ht="22.5">
      <c r="B321" s="15">
        <v>309</v>
      </c>
      <c r="C321" s="15"/>
      <c r="D321" s="21"/>
      <c r="E321" s="60"/>
      <c r="F321" s="85"/>
      <c r="G321" s="60"/>
      <c r="H321" s="60"/>
      <c r="I321" s="60"/>
      <c r="J321" s="88"/>
      <c r="K321" s="89"/>
      <c r="L321" s="90"/>
      <c r="M321" s="10" t="b">
        <f t="shared" si="5"/>
        <v>0</v>
      </c>
    </row>
    <row r="322" spans="2:13" ht="22.5">
      <c r="B322" s="15">
        <v>310</v>
      </c>
      <c r="C322" s="15"/>
      <c r="D322" s="21"/>
      <c r="E322" s="60"/>
      <c r="F322" s="85"/>
      <c r="G322" s="60"/>
      <c r="H322" s="60"/>
      <c r="I322" s="60"/>
      <c r="J322" s="88"/>
      <c r="K322" s="89"/>
      <c r="L322" s="90"/>
      <c r="M322" s="10" t="b">
        <f t="shared" si="5"/>
        <v>0</v>
      </c>
    </row>
    <row r="323" spans="2:13" ht="22.5">
      <c r="B323" s="15">
        <v>311</v>
      </c>
      <c r="C323" s="15"/>
      <c r="D323" s="21"/>
      <c r="E323" s="60"/>
      <c r="F323" s="85"/>
      <c r="G323" s="60"/>
      <c r="H323" s="60"/>
      <c r="I323" s="60"/>
      <c r="J323" s="88"/>
      <c r="K323" s="89"/>
      <c r="L323" s="90"/>
      <c r="M323" s="10" t="b">
        <f t="shared" si="5"/>
        <v>0</v>
      </c>
    </row>
    <row r="324" spans="2:13" ht="22.5">
      <c r="B324" s="15">
        <v>312</v>
      </c>
      <c r="C324" s="15"/>
      <c r="D324" s="21"/>
      <c r="E324" s="60"/>
      <c r="F324" s="85"/>
      <c r="G324" s="60"/>
      <c r="H324" s="60"/>
      <c r="I324" s="60"/>
      <c r="J324" s="88"/>
      <c r="K324" s="89"/>
      <c r="L324" s="90"/>
      <c r="M324" s="10" t="b">
        <f t="shared" si="5"/>
        <v>0</v>
      </c>
    </row>
    <row r="325" spans="2:13" ht="22.5">
      <c r="B325" s="15">
        <v>313</v>
      </c>
      <c r="C325" s="15"/>
      <c r="D325" s="21"/>
      <c r="E325" s="60"/>
      <c r="F325" s="85"/>
      <c r="G325" s="60"/>
      <c r="H325" s="60"/>
      <c r="I325" s="60"/>
      <c r="J325" s="88"/>
      <c r="K325" s="89"/>
      <c r="L325" s="90"/>
      <c r="M325" s="10" t="b">
        <f t="shared" si="5"/>
        <v>0</v>
      </c>
    </row>
    <row r="326" spans="2:13" ht="22.5">
      <c r="B326" s="15">
        <v>314</v>
      </c>
      <c r="C326" s="15"/>
      <c r="D326" s="21"/>
      <c r="E326" s="60"/>
      <c r="F326" s="85"/>
      <c r="G326" s="60"/>
      <c r="H326" s="60"/>
      <c r="I326" s="60"/>
      <c r="J326" s="88"/>
      <c r="K326" s="89"/>
      <c r="L326" s="90"/>
      <c r="M326" s="10" t="b">
        <f t="shared" si="5"/>
        <v>0</v>
      </c>
    </row>
    <row r="327" spans="2:13" ht="22.5">
      <c r="B327" s="15">
        <v>315</v>
      </c>
      <c r="C327" s="15"/>
      <c r="D327" s="21"/>
      <c r="E327" s="60"/>
      <c r="F327" s="85"/>
      <c r="G327" s="60"/>
      <c r="H327" s="60"/>
      <c r="I327" s="60"/>
      <c r="J327" s="88"/>
      <c r="K327" s="89"/>
      <c r="L327" s="90"/>
      <c r="M327" s="10" t="b">
        <f t="shared" si="5"/>
        <v>0</v>
      </c>
    </row>
    <row r="328" spans="2:13" ht="22.5">
      <c r="B328" s="15">
        <v>316</v>
      </c>
      <c r="C328" s="15"/>
      <c r="D328" s="21"/>
      <c r="E328" s="60"/>
      <c r="F328" s="85"/>
      <c r="G328" s="60"/>
      <c r="H328" s="60"/>
      <c r="I328" s="60"/>
      <c r="J328" s="88"/>
      <c r="K328" s="89"/>
      <c r="L328" s="90"/>
      <c r="M328" s="10" t="b">
        <f t="shared" si="5"/>
        <v>0</v>
      </c>
    </row>
    <row r="329" spans="2:13" ht="22.5">
      <c r="B329" s="15">
        <v>317</v>
      </c>
      <c r="C329" s="15"/>
      <c r="D329" s="21"/>
      <c r="E329" s="60"/>
      <c r="F329" s="85"/>
      <c r="G329" s="60"/>
      <c r="H329" s="60"/>
      <c r="I329" s="60"/>
      <c r="J329" s="88"/>
      <c r="K329" s="89"/>
      <c r="L329" s="90"/>
      <c r="M329" s="10" t="b">
        <f t="shared" si="5"/>
        <v>0</v>
      </c>
    </row>
    <row r="330" spans="2:13" ht="22.5">
      <c r="B330" s="15">
        <v>318</v>
      </c>
      <c r="C330" s="15"/>
      <c r="D330" s="21"/>
      <c r="E330" s="60"/>
      <c r="F330" s="85"/>
      <c r="G330" s="60"/>
      <c r="H330" s="60"/>
      <c r="I330" s="60"/>
      <c r="J330" s="88"/>
      <c r="K330" s="89"/>
      <c r="L330" s="90"/>
      <c r="M330" s="10" t="b">
        <f t="shared" si="5"/>
        <v>0</v>
      </c>
    </row>
    <row r="331" spans="2:13" ht="22.5">
      <c r="B331" s="15">
        <v>319</v>
      </c>
      <c r="C331" s="15"/>
      <c r="D331" s="21"/>
      <c r="E331" s="60"/>
      <c r="F331" s="85"/>
      <c r="G331" s="60"/>
      <c r="H331" s="60"/>
      <c r="I331" s="60"/>
      <c r="J331" s="88"/>
      <c r="K331" s="89"/>
      <c r="L331" s="90"/>
      <c r="M331" s="10" t="b">
        <f t="shared" si="5"/>
        <v>0</v>
      </c>
    </row>
    <row r="332" spans="2:13" ht="22.5">
      <c r="B332" s="15">
        <v>320</v>
      </c>
      <c r="C332" s="15"/>
      <c r="D332" s="21"/>
      <c r="E332" s="60"/>
      <c r="F332" s="85"/>
      <c r="G332" s="60"/>
      <c r="H332" s="60"/>
      <c r="I332" s="60"/>
      <c r="J332" s="88"/>
      <c r="K332" s="89"/>
      <c r="L332" s="90"/>
      <c r="M332" s="10" t="b">
        <f t="shared" si="5"/>
        <v>0</v>
      </c>
    </row>
    <row r="333" spans="2:13" ht="22.5">
      <c r="B333" s="15">
        <v>321</v>
      </c>
      <c r="C333" s="15"/>
      <c r="D333" s="21"/>
      <c r="E333" s="60"/>
      <c r="F333" s="85"/>
      <c r="G333" s="60"/>
      <c r="H333" s="60"/>
      <c r="I333" s="60"/>
      <c r="J333" s="88"/>
      <c r="K333" s="89"/>
      <c r="L333" s="90"/>
      <c r="M333" s="10" t="b">
        <f t="shared" si="5"/>
        <v>0</v>
      </c>
    </row>
    <row r="334" spans="2:13" ht="22.5">
      <c r="B334" s="15">
        <v>322</v>
      </c>
      <c r="C334" s="15"/>
      <c r="D334" s="21"/>
      <c r="E334" s="60"/>
      <c r="F334" s="85"/>
      <c r="G334" s="60"/>
      <c r="H334" s="60"/>
      <c r="I334" s="60"/>
      <c r="J334" s="88"/>
      <c r="K334" s="89"/>
      <c r="L334" s="90"/>
      <c r="M334" s="10" t="b">
        <f t="shared" ref="M334:M397" si="6">IF(COUNTA(E334:G334)=0,FALSE,TRUE)</f>
        <v>0</v>
      </c>
    </row>
    <row r="335" spans="2:13" ht="22.5">
      <c r="B335" s="15">
        <v>323</v>
      </c>
      <c r="C335" s="15"/>
      <c r="D335" s="21"/>
      <c r="E335" s="60"/>
      <c r="F335" s="85"/>
      <c r="G335" s="60"/>
      <c r="H335" s="60"/>
      <c r="I335" s="60"/>
      <c r="J335" s="88"/>
      <c r="K335" s="89"/>
      <c r="L335" s="90"/>
      <c r="M335" s="10" t="b">
        <f t="shared" si="6"/>
        <v>0</v>
      </c>
    </row>
    <row r="336" spans="2:13" ht="22.5">
      <c r="B336" s="15">
        <v>324</v>
      </c>
      <c r="C336" s="15"/>
      <c r="D336" s="21"/>
      <c r="E336" s="60"/>
      <c r="F336" s="85"/>
      <c r="G336" s="60"/>
      <c r="H336" s="60"/>
      <c r="I336" s="60"/>
      <c r="J336" s="88"/>
      <c r="K336" s="89"/>
      <c r="L336" s="90"/>
      <c r="M336" s="10" t="b">
        <f t="shared" si="6"/>
        <v>0</v>
      </c>
    </row>
    <row r="337" spans="2:13" ht="22.5">
      <c r="B337" s="15">
        <v>325</v>
      </c>
      <c r="C337" s="15"/>
      <c r="D337" s="21"/>
      <c r="E337" s="60"/>
      <c r="F337" s="85"/>
      <c r="G337" s="60"/>
      <c r="H337" s="60"/>
      <c r="I337" s="60"/>
      <c r="J337" s="88"/>
      <c r="K337" s="89"/>
      <c r="L337" s="90"/>
      <c r="M337" s="10" t="b">
        <f t="shared" si="6"/>
        <v>0</v>
      </c>
    </row>
    <row r="338" spans="2:13" ht="22.5">
      <c r="B338" s="15">
        <v>326</v>
      </c>
      <c r="C338" s="15"/>
      <c r="D338" s="21"/>
      <c r="E338" s="60"/>
      <c r="F338" s="85"/>
      <c r="G338" s="60"/>
      <c r="H338" s="60"/>
      <c r="I338" s="60"/>
      <c r="J338" s="88"/>
      <c r="K338" s="89"/>
      <c r="L338" s="90"/>
      <c r="M338" s="10" t="b">
        <f t="shared" si="6"/>
        <v>0</v>
      </c>
    </row>
    <row r="339" spans="2:13" ht="22.5">
      <c r="B339" s="15">
        <v>327</v>
      </c>
      <c r="C339" s="15"/>
      <c r="D339" s="21"/>
      <c r="E339" s="60"/>
      <c r="F339" s="85"/>
      <c r="G339" s="60"/>
      <c r="H339" s="60"/>
      <c r="I339" s="60"/>
      <c r="J339" s="88"/>
      <c r="K339" s="89"/>
      <c r="L339" s="90"/>
      <c r="M339" s="10" t="b">
        <f t="shared" si="6"/>
        <v>0</v>
      </c>
    </row>
    <row r="340" spans="2:13" ht="22.5">
      <c r="B340" s="15">
        <v>328</v>
      </c>
      <c r="C340" s="15"/>
      <c r="D340" s="21"/>
      <c r="E340" s="60"/>
      <c r="F340" s="85"/>
      <c r="G340" s="60"/>
      <c r="H340" s="60"/>
      <c r="I340" s="60"/>
      <c r="J340" s="88"/>
      <c r="K340" s="89"/>
      <c r="L340" s="90"/>
      <c r="M340" s="10" t="b">
        <f t="shared" si="6"/>
        <v>0</v>
      </c>
    </row>
    <row r="341" spans="2:13" ht="22.5">
      <c r="B341" s="15">
        <v>329</v>
      </c>
      <c r="C341" s="15"/>
      <c r="D341" s="21"/>
      <c r="E341" s="60"/>
      <c r="F341" s="85"/>
      <c r="G341" s="60"/>
      <c r="H341" s="60"/>
      <c r="I341" s="60"/>
      <c r="J341" s="88"/>
      <c r="K341" s="89"/>
      <c r="L341" s="90"/>
      <c r="M341" s="10" t="b">
        <f t="shared" si="6"/>
        <v>0</v>
      </c>
    </row>
    <row r="342" spans="2:13" ht="22.5">
      <c r="B342" s="15">
        <v>330</v>
      </c>
      <c r="C342" s="15"/>
      <c r="D342" s="21"/>
      <c r="E342" s="60"/>
      <c r="F342" s="85"/>
      <c r="G342" s="60"/>
      <c r="H342" s="60"/>
      <c r="I342" s="60"/>
      <c r="J342" s="88"/>
      <c r="K342" s="89"/>
      <c r="L342" s="90"/>
      <c r="M342" s="10" t="b">
        <f t="shared" si="6"/>
        <v>0</v>
      </c>
    </row>
    <row r="343" spans="2:13" ht="22.5">
      <c r="B343" s="15">
        <v>331</v>
      </c>
      <c r="C343" s="15"/>
      <c r="D343" s="21"/>
      <c r="E343" s="60"/>
      <c r="F343" s="85"/>
      <c r="G343" s="60"/>
      <c r="H343" s="60"/>
      <c r="I343" s="60"/>
      <c r="J343" s="88"/>
      <c r="K343" s="89"/>
      <c r="L343" s="90"/>
      <c r="M343" s="10" t="b">
        <f t="shared" si="6"/>
        <v>0</v>
      </c>
    </row>
    <row r="344" spans="2:13" ht="22.5">
      <c r="B344" s="15">
        <v>332</v>
      </c>
      <c r="C344" s="15"/>
      <c r="D344" s="21"/>
      <c r="E344" s="60"/>
      <c r="F344" s="85"/>
      <c r="G344" s="60"/>
      <c r="H344" s="60"/>
      <c r="I344" s="60"/>
      <c r="J344" s="88"/>
      <c r="K344" s="89"/>
      <c r="L344" s="90"/>
      <c r="M344" s="10" t="b">
        <f t="shared" si="6"/>
        <v>0</v>
      </c>
    </row>
    <row r="345" spans="2:13" ht="22.5">
      <c r="B345" s="15">
        <v>333</v>
      </c>
      <c r="C345" s="15"/>
      <c r="D345" s="21"/>
      <c r="E345" s="60"/>
      <c r="F345" s="85"/>
      <c r="G345" s="60"/>
      <c r="H345" s="60"/>
      <c r="I345" s="60"/>
      <c r="J345" s="88"/>
      <c r="K345" s="89"/>
      <c r="L345" s="90"/>
      <c r="M345" s="10" t="b">
        <f t="shared" si="6"/>
        <v>0</v>
      </c>
    </row>
    <row r="346" spans="2:13" ht="22.5">
      <c r="B346" s="15">
        <v>334</v>
      </c>
      <c r="C346" s="15"/>
      <c r="D346" s="21"/>
      <c r="E346" s="60"/>
      <c r="F346" s="85"/>
      <c r="G346" s="60"/>
      <c r="H346" s="60"/>
      <c r="I346" s="60"/>
      <c r="J346" s="88"/>
      <c r="K346" s="89"/>
      <c r="L346" s="90"/>
      <c r="M346" s="10" t="b">
        <f t="shared" si="6"/>
        <v>0</v>
      </c>
    </row>
    <row r="347" spans="2:13" ht="22.5">
      <c r="B347" s="15">
        <v>335</v>
      </c>
      <c r="C347" s="15"/>
      <c r="D347" s="21"/>
      <c r="E347" s="60"/>
      <c r="F347" s="85"/>
      <c r="G347" s="60"/>
      <c r="H347" s="60"/>
      <c r="I347" s="60"/>
      <c r="J347" s="88"/>
      <c r="K347" s="89"/>
      <c r="L347" s="90"/>
      <c r="M347" s="10" t="b">
        <f t="shared" si="6"/>
        <v>0</v>
      </c>
    </row>
    <row r="348" spans="2:13" ht="22.5">
      <c r="B348" s="15">
        <v>336</v>
      </c>
      <c r="C348" s="15"/>
      <c r="D348" s="21"/>
      <c r="E348" s="60"/>
      <c r="F348" s="85"/>
      <c r="G348" s="60"/>
      <c r="H348" s="60"/>
      <c r="I348" s="60"/>
      <c r="J348" s="88"/>
      <c r="K348" s="89"/>
      <c r="L348" s="90"/>
      <c r="M348" s="10" t="b">
        <f t="shared" si="6"/>
        <v>0</v>
      </c>
    </row>
    <row r="349" spans="2:13" ht="22.5">
      <c r="B349" s="15">
        <v>337</v>
      </c>
      <c r="C349" s="15"/>
      <c r="D349" s="21"/>
      <c r="E349" s="60"/>
      <c r="F349" s="85"/>
      <c r="G349" s="60"/>
      <c r="H349" s="60"/>
      <c r="I349" s="60"/>
      <c r="J349" s="88"/>
      <c r="K349" s="89"/>
      <c r="L349" s="90"/>
      <c r="M349" s="10" t="b">
        <f t="shared" si="6"/>
        <v>0</v>
      </c>
    </row>
    <row r="350" spans="2:13" ht="22.5">
      <c r="B350" s="15">
        <v>338</v>
      </c>
      <c r="C350" s="15"/>
      <c r="D350" s="21"/>
      <c r="E350" s="60"/>
      <c r="F350" s="85"/>
      <c r="G350" s="60"/>
      <c r="H350" s="60"/>
      <c r="I350" s="60"/>
      <c r="J350" s="88"/>
      <c r="K350" s="89"/>
      <c r="L350" s="90"/>
      <c r="M350" s="10" t="b">
        <f t="shared" si="6"/>
        <v>0</v>
      </c>
    </row>
    <row r="351" spans="2:13" ht="22.5">
      <c r="B351" s="15">
        <v>339</v>
      </c>
      <c r="C351" s="15"/>
      <c r="D351" s="21"/>
      <c r="E351" s="60"/>
      <c r="F351" s="85"/>
      <c r="G351" s="60"/>
      <c r="H351" s="60"/>
      <c r="I351" s="60"/>
      <c r="J351" s="88"/>
      <c r="K351" s="89"/>
      <c r="L351" s="90"/>
      <c r="M351" s="10" t="b">
        <f t="shared" si="6"/>
        <v>0</v>
      </c>
    </row>
    <row r="352" spans="2:13" ht="22.5">
      <c r="B352" s="15">
        <v>340</v>
      </c>
      <c r="C352" s="15"/>
      <c r="D352" s="21"/>
      <c r="E352" s="60"/>
      <c r="F352" s="85"/>
      <c r="G352" s="60"/>
      <c r="H352" s="60"/>
      <c r="I352" s="60"/>
      <c r="J352" s="88"/>
      <c r="K352" s="89"/>
      <c r="L352" s="90"/>
      <c r="M352" s="10" t="b">
        <f t="shared" si="6"/>
        <v>0</v>
      </c>
    </row>
    <row r="353" spans="2:13" ht="22.5">
      <c r="B353" s="15">
        <v>341</v>
      </c>
      <c r="C353" s="15"/>
      <c r="D353" s="21"/>
      <c r="E353" s="60"/>
      <c r="F353" s="85"/>
      <c r="G353" s="60"/>
      <c r="H353" s="60"/>
      <c r="I353" s="60"/>
      <c r="J353" s="88"/>
      <c r="K353" s="89"/>
      <c r="L353" s="90"/>
      <c r="M353" s="10" t="b">
        <f t="shared" si="6"/>
        <v>0</v>
      </c>
    </row>
    <row r="354" spans="2:13" ht="22.5">
      <c r="B354" s="15">
        <v>342</v>
      </c>
      <c r="C354" s="15"/>
      <c r="D354" s="21"/>
      <c r="E354" s="60"/>
      <c r="F354" s="85"/>
      <c r="G354" s="60"/>
      <c r="H354" s="60"/>
      <c r="I354" s="60"/>
      <c r="J354" s="88"/>
      <c r="K354" s="89"/>
      <c r="L354" s="90"/>
      <c r="M354" s="10" t="b">
        <f t="shared" si="6"/>
        <v>0</v>
      </c>
    </row>
    <row r="355" spans="2:13" ht="22.5">
      <c r="B355" s="15">
        <v>343</v>
      </c>
      <c r="C355" s="15"/>
      <c r="D355" s="21"/>
      <c r="E355" s="60"/>
      <c r="F355" s="85"/>
      <c r="G355" s="60"/>
      <c r="H355" s="60"/>
      <c r="I355" s="60"/>
      <c r="J355" s="88"/>
      <c r="K355" s="89"/>
      <c r="L355" s="90"/>
      <c r="M355" s="10" t="b">
        <f t="shared" si="6"/>
        <v>0</v>
      </c>
    </row>
    <row r="356" spans="2:13" ht="22.5">
      <c r="B356" s="15">
        <v>344</v>
      </c>
      <c r="C356" s="15"/>
      <c r="D356" s="21"/>
      <c r="E356" s="60"/>
      <c r="F356" s="85"/>
      <c r="G356" s="60"/>
      <c r="H356" s="60"/>
      <c r="I356" s="60"/>
      <c r="J356" s="88"/>
      <c r="K356" s="89"/>
      <c r="L356" s="90"/>
      <c r="M356" s="10" t="b">
        <f t="shared" si="6"/>
        <v>0</v>
      </c>
    </row>
    <row r="357" spans="2:13" ht="22.5">
      <c r="B357" s="15">
        <v>345</v>
      </c>
      <c r="C357" s="15"/>
      <c r="D357" s="21"/>
      <c r="E357" s="60"/>
      <c r="F357" s="85"/>
      <c r="G357" s="60"/>
      <c r="H357" s="60"/>
      <c r="I357" s="60"/>
      <c r="J357" s="88"/>
      <c r="K357" s="89"/>
      <c r="L357" s="90"/>
      <c r="M357" s="10" t="b">
        <f t="shared" si="6"/>
        <v>0</v>
      </c>
    </row>
    <row r="358" spans="2:13" ht="22.5">
      <c r="B358" s="15">
        <v>346</v>
      </c>
      <c r="C358" s="15"/>
      <c r="D358" s="21"/>
      <c r="E358" s="60"/>
      <c r="F358" s="85"/>
      <c r="G358" s="60"/>
      <c r="H358" s="60"/>
      <c r="I358" s="60"/>
      <c r="J358" s="88"/>
      <c r="K358" s="89"/>
      <c r="L358" s="90"/>
      <c r="M358" s="10" t="b">
        <f t="shared" si="6"/>
        <v>0</v>
      </c>
    </row>
    <row r="359" spans="2:13" ht="22.5">
      <c r="B359" s="15">
        <v>347</v>
      </c>
      <c r="C359" s="15"/>
      <c r="D359" s="21"/>
      <c r="E359" s="60"/>
      <c r="F359" s="85"/>
      <c r="G359" s="60"/>
      <c r="H359" s="60"/>
      <c r="I359" s="60"/>
      <c r="J359" s="88"/>
      <c r="K359" s="89"/>
      <c r="L359" s="90"/>
      <c r="M359" s="10" t="b">
        <f t="shared" si="6"/>
        <v>0</v>
      </c>
    </row>
    <row r="360" spans="2:13" ht="22.5">
      <c r="B360" s="15">
        <v>348</v>
      </c>
      <c r="C360" s="15"/>
      <c r="D360" s="21"/>
      <c r="E360" s="60"/>
      <c r="F360" s="85"/>
      <c r="G360" s="60"/>
      <c r="H360" s="60"/>
      <c r="I360" s="60"/>
      <c r="J360" s="88"/>
      <c r="K360" s="89"/>
      <c r="L360" s="90"/>
      <c r="M360" s="10" t="b">
        <f t="shared" si="6"/>
        <v>0</v>
      </c>
    </row>
    <row r="361" spans="2:13" ht="22.5">
      <c r="B361" s="15">
        <v>349</v>
      </c>
      <c r="C361" s="15"/>
      <c r="D361" s="21"/>
      <c r="E361" s="60"/>
      <c r="F361" s="85"/>
      <c r="G361" s="60"/>
      <c r="H361" s="60"/>
      <c r="I361" s="60"/>
      <c r="J361" s="88"/>
      <c r="K361" s="89"/>
      <c r="L361" s="90"/>
      <c r="M361" s="10" t="b">
        <f t="shared" si="6"/>
        <v>0</v>
      </c>
    </row>
    <row r="362" spans="2:13" ht="22.5">
      <c r="B362" s="15">
        <v>350</v>
      </c>
      <c r="C362" s="15"/>
      <c r="D362" s="21"/>
      <c r="E362" s="60"/>
      <c r="F362" s="85"/>
      <c r="G362" s="60"/>
      <c r="H362" s="60"/>
      <c r="I362" s="60"/>
      <c r="J362" s="88"/>
      <c r="K362" s="89"/>
      <c r="L362" s="90"/>
      <c r="M362" s="10" t="b">
        <f t="shared" si="6"/>
        <v>0</v>
      </c>
    </row>
    <row r="363" spans="2:13" ht="22.5">
      <c r="B363" s="15">
        <v>351</v>
      </c>
      <c r="C363" s="15"/>
      <c r="D363" s="21"/>
      <c r="E363" s="60"/>
      <c r="F363" s="85"/>
      <c r="G363" s="60"/>
      <c r="H363" s="60"/>
      <c r="I363" s="60"/>
      <c r="J363" s="88"/>
      <c r="K363" s="89"/>
      <c r="L363" s="90"/>
      <c r="M363" s="10" t="b">
        <f t="shared" si="6"/>
        <v>0</v>
      </c>
    </row>
    <row r="364" spans="2:13" ht="22.5">
      <c r="B364" s="15">
        <v>352</v>
      </c>
      <c r="C364" s="15"/>
      <c r="D364" s="21"/>
      <c r="E364" s="60"/>
      <c r="F364" s="85"/>
      <c r="G364" s="60"/>
      <c r="H364" s="60"/>
      <c r="I364" s="60"/>
      <c r="J364" s="88"/>
      <c r="K364" s="89"/>
      <c r="L364" s="90"/>
      <c r="M364" s="10" t="b">
        <f t="shared" si="6"/>
        <v>0</v>
      </c>
    </row>
    <row r="365" spans="2:13" ht="22.5">
      <c r="B365" s="15">
        <v>353</v>
      </c>
      <c r="C365" s="15"/>
      <c r="D365" s="21"/>
      <c r="E365" s="60"/>
      <c r="F365" s="85"/>
      <c r="G365" s="60"/>
      <c r="H365" s="60"/>
      <c r="I365" s="60"/>
      <c r="J365" s="88"/>
      <c r="K365" s="89"/>
      <c r="L365" s="90"/>
      <c r="M365" s="10" t="b">
        <f t="shared" si="6"/>
        <v>0</v>
      </c>
    </row>
    <row r="366" spans="2:13" ht="22.5">
      <c r="B366" s="15">
        <v>354</v>
      </c>
      <c r="C366" s="15"/>
      <c r="D366" s="21"/>
      <c r="E366" s="60"/>
      <c r="F366" s="85"/>
      <c r="G366" s="60"/>
      <c r="H366" s="60"/>
      <c r="I366" s="60"/>
      <c r="J366" s="88"/>
      <c r="K366" s="89"/>
      <c r="L366" s="90"/>
      <c r="M366" s="10" t="b">
        <f t="shared" si="6"/>
        <v>0</v>
      </c>
    </row>
    <row r="367" spans="2:13" ht="22.5">
      <c r="B367" s="15">
        <v>355</v>
      </c>
      <c r="C367" s="15"/>
      <c r="D367" s="21"/>
      <c r="E367" s="60"/>
      <c r="F367" s="85"/>
      <c r="G367" s="60"/>
      <c r="H367" s="60"/>
      <c r="I367" s="60"/>
      <c r="J367" s="88"/>
      <c r="K367" s="89"/>
      <c r="L367" s="90"/>
      <c r="M367" s="10" t="b">
        <f t="shared" si="6"/>
        <v>0</v>
      </c>
    </row>
    <row r="368" spans="2:13" ht="22.5">
      <c r="B368" s="15">
        <v>356</v>
      </c>
      <c r="C368" s="15"/>
      <c r="D368" s="21"/>
      <c r="E368" s="60"/>
      <c r="F368" s="85"/>
      <c r="G368" s="60"/>
      <c r="H368" s="60"/>
      <c r="I368" s="60"/>
      <c r="J368" s="88"/>
      <c r="K368" s="89"/>
      <c r="L368" s="90"/>
      <c r="M368" s="10" t="b">
        <f t="shared" si="6"/>
        <v>0</v>
      </c>
    </row>
    <row r="369" spans="2:13" ht="22.5">
      <c r="B369" s="15">
        <v>357</v>
      </c>
      <c r="C369" s="15"/>
      <c r="D369" s="21"/>
      <c r="E369" s="60"/>
      <c r="F369" s="85"/>
      <c r="G369" s="60"/>
      <c r="H369" s="60"/>
      <c r="I369" s="60"/>
      <c r="J369" s="88"/>
      <c r="K369" s="89"/>
      <c r="L369" s="90"/>
      <c r="M369" s="10" t="b">
        <f t="shared" si="6"/>
        <v>0</v>
      </c>
    </row>
    <row r="370" spans="2:13" ht="22.5">
      <c r="B370" s="15">
        <v>358</v>
      </c>
      <c r="C370" s="15"/>
      <c r="D370" s="21"/>
      <c r="E370" s="60"/>
      <c r="F370" s="85"/>
      <c r="G370" s="60"/>
      <c r="H370" s="60"/>
      <c r="I370" s="60"/>
      <c r="J370" s="88"/>
      <c r="K370" s="89"/>
      <c r="L370" s="90"/>
      <c r="M370" s="10" t="b">
        <f t="shared" si="6"/>
        <v>0</v>
      </c>
    </row>
    <row r="371" spans="2:13" ht="22.5">
      <c r="B371" s="15">
        <v>359</v>
      </c>
      <c r="C371" s="15"/>
      <c r="D371" s="21"/>
      <c r="E371" s="60"/>
      <c r="F371" s="85"/>
      <c r="G371" s="60"/>
      <c r="H371" s="60"/>
      <c r="I371" s="60"/>
      <c r="J371" s="88"/>
      <c r="K371" s="89"/>
      <c r="L371" s="90"/>
      <c r="M371" s="10" t="b">
        <f t="shared" si="6"/>
        <v>0</v>
      </c>
    </row>
    <row r="372" spans="2:13" ht="22.5">
      <c r="B372" s="15">
        <v>360</v>
      </c>
      <c r="C372" s="15"/>
      <c r="D372" s="21"/>
      <c r="E372" s="60"/>
      <c r="F372" s="85"/>
      <c r="G372" s="60"/>
      <c r="H372" s="60"/>
      <c r="I372" s="60"/>
      <c r="J372" s="88"/>
      <c r="K372" s="89"/>
      <c r="L372" s="90"/>
      <c r="M372" s="10" t="b">
        <f t="shared" si="6"/>
        <v>0</v>
      </c>
    </row>
    <row r="373" spans="2:13" ht="22.5">
      <c r="B373" s="15">
        <v>361</v>
      </c>
      <c r="C373" s="15"/>
      <c r="D373" s="21"/>
      <c r="E373" s="60"/>
      <c r="F373" s="85"/>
      <c r="G373" s="60"/>
      <c r="H373" s="60"/>
      <c r="I373" s="60"/>
      <c r="J373" s="88"/>
      <c r="K373" s="89"/>
      <c r="L373" s="90"/>
      <c r="M373" s="10" t="b">
        <f t="shared" si="6"/>
        <v>0</v>
      </c>
    </row>
    <row r="374" spans="2:13" ht="22.5">
      <c r="B374" s="15">
        <v>362</v>
      </c>
      <c r="C374" s="15"/>
      <c r="D374" s="21"/>
      <c r="E374" s="60"/>
      <c r="F374" s="85"/>
      <c r="G374" s="60"/>
      <c r="H374" s="60"/>
      <c r="I374" s="60"/>
      <c r="J374" s="88"/>
      <c r="K374" s="89"/>
      <c r="L374" s="90"/>
      <c r="M374" s="10" t="b">
        <f t="shared" si="6"/>
        <v>0</v>
      </c>
    </row>
    <row r="375" spans="2:13" ht="22.5">
      <c r="B375" s="15">
        <v>363</v>
      </c>
      <c r="C375" s="15"/>
      <c r="D375" s="21"/>
      <c r="E375" s="60"/>
      <c r="F375" s="85"/>
      <c r="G375" s="60"/>
      <c r="H375" s="60"/>
      <c r="I375" s="60"/>
      <c r="J375" s="88"/>
      <c r="K375" s="89"/>
      <c r="L375" s="90"/>
      <c r="M375" s="10" t="b">
        <f t="shared" si="6"/>
        <v>0</v>
      </c>
    </row>
    <row r="376" spans="2:13" ht="22.5">
      <c r="B376" s="15">
        <v>364</v>
      </c>
      <c r="C376" s="15"/>
      <c r="D376" s="21"/>
      <c r="E376" s="60"/>
      <c r="F376" s="85"/>
      <c r="G376" s="60"/>
      <c r="H376" s="60"/>
      <c r="I376" s="60"/>
      <c r="J376" s="88"/>
      <c r="K376" s="89"/>
      <c r="L376" s="90"/>
      <c r="M376" s="10" t="b">
        <f t="shared" si="6"/>
        <v>0</v>
      </c>
    </row>
    <row r="377" spans="2:13" ht="22.5">
      <c r="B377" s="15">
        <v>365</v>
      </c>
      <c r="C377" s="15"/>
      <c r="D377" s="21"/>
      <c r="E377" s="60"/>
      <c r="F377" s="85"/>
      <c r="G377" s="60"/>
      <c r="H377" s="60"/>
      <c r="I377" s="60"/>
      <c r="J377" s="88"/>
      <c r="K377" s="89"/>
      <c r="L377" s="90"/>
      <c r="M377" s="10" t="b">
        <f t="shared" si="6"/>
        <v>0</v>
      </c>
    </row>
    <row r="378" spans="2:13" ht="22.5">
      <c r="B378" s="15">
        <v>366</v>
      </c>
      <c r="C378" s="15"/>
      <c r="D378" s="21"/>
      <c r="E378" s="60"/>
      <c r="F378" s="85"/>
      <c r="G378" s="60"/>
      <c r="H378" s="60"/>
      <c r="I378" s="60"/>
      <c r="J378" s="88"/>
      <c r="K378" s="89"/>
      <c r="L378" s="90"/>
      <c r="M378" s="10" t="b">
        <f t="shared" si="6"/>
        <v>0</v>
      </c>
    </row>
    <row r="379" spans="2:13" ht="22.5">
      <c r="B379" s="15">
        <v>367</v>
      </c>
      <c r="C379" s="15"/>
      <c r="D379" s="21"/>
      <c r="E379" s="60"/>
      <c r="F379" s="85"/>
      <c r="G379" s="60"/>
      <c r="H379" s="60"/>
      <c r="I379" s="60"/>
      <c r="J379" s="88"/>
      <c r="K379" s="89"/>
      <c r="L379" s="90"/>
      <c r="M379" s="10" t="b">
        <f t="shared" si="6"/>
        <v>0</v>
      </c>
    </row>
    <row r="380" spans="2:13" ht="22.5">
      <c r="B380" s="15">
        <v>368</v>
      </c>
      <c r="C380" s="15"/>
      <c r="D380" s="21"/>
      <c r="E380" s="60"/>
      <c r="F380" s="85"/>
      <c r="G380" s="60"/>
      <c r="H380" s="60"/>
      <c r="I380" s="60"/>
      <c r="J380" s="88"/>
      <c r="K380" s="89"/>
      <c r="L380" s="90"/>
      <c r="M380" s="10" t="b">
        <f t="shared" si="6"/>
        <v>0</v>
      </c>
    </row>
    <row r="381" spans="2:13" ht="22.5">
      <c r="B381" s="15">
        <v>369</v>
      </c>
      <c r="C381" s="15"/>
      <c r="D381" s="21"/>
      <c r="E381" s="60"/>
      <c r="F381" s="85"/>
      <c r="G381" s="60"/>
      <c r="H381" s="60"/>
      <c r="I381" s="60"/>
      <c r="J381" s="88"/>
      <c r="K381" s="89"/>
      <c r="L381" s="90"/>
      <c r="M381" s="10" t="b">
        <f t="shared" si="6"/>
        <v>0</v>
      </c>
    </row>
    <row r="382" spans="2:13" ht="22.5">
      <c r="B382" s="15">
        <v>370</v>
      </c>
      <c r="C382" s="15"/>
      <c r="D382" s="21"/>
      <c r="E382" s="60"/>
      <c r="F382" s="85"/>
      <c r="G382" s="60"/>
      <c r="H382" s="60"/>
      <c r="I382" s="60"/>
      <c r="J382" s="88"/>
      <c r="K382" s="89"/>
      <c r="L382" s="90"/>
      <c r="M382" s="10" t="b">
        <f t="shared" si="6"/>
        <v>0</v>
      </c>
    </row>
    <row r="383" spans="2:13" ht="22.5">
      <c r="B383" s="15">
        <v>371</v>
      </c>
      <c r="C383" s="15"/>
      <c r="D383" s="21"/>
      <c r="E383" s="60"/>
      <c r="F383" s="85"/>
      <c r="G383" s="60"/>
      <c r="H383" s="60"/>
      <c r="I383" s="60"/>
      <c r="J383" s="88"/>
      <c r="K383" s="89"/>
      <c r="L383" s="90"/>
      <c r="M383" s="10" t="b">
        <f t="shared" si="6"/>
        <v>0</v>
      </c>
    </row>
    <row r="384" spans="2:13" ht="22.5">
      <c r="B384" s="15">
        <v>372</v>
      </c>
      <c r="C384" s="15"/>
      <c r="D384" s="21"/>
      <c r="E384" s="60"/>
      <c r="F384" s="85"/>
      <c r="G384" s="60"/>
      <c r="H384" s="60"/>
      <c r="I384" s="60"/>
      <c r="J384" s="88"/>
      <c r="K384" s="89"/>
      <c r="L384" s="90"/>
      <c r="M384" s="10" t="b">
        <f t="shared" si="6"/>
        <v>0</v>
      </c>
    </row>
    <row r="385" spans="2:13" ht="22.5">
      <c r="B385" s="15">
        <v>373</v>
      </c>
      <c r="C385" s="15"/>
      <c r="D385" s="21"/>
      <c r="E385" s="60"/>
      <c r="F385" s="85"/>
      <c r="G385" s="60"/>
      <c r="H385" s="60"/>
      <c r="I385" s="60"/>
      <c r="J385" s="88"/>
      <c r="K385" s="89"/>
      <c r="L385" s="90"/>
      <c r="M385" s="10" t="b">
        <f t="shared" si="6"/>
        <v>0</v>
      </c>
    </row>
    <row r="386" spans="2:13" ht="22.5">
      <c r="B386" s="15">
        <v>374</v>
      </c>
      <c r="C386" s="15"/>
      <c r="D386" s="21"/>
      <c r="E386" s="60"/>
      <c r="F386" s="85"/>
      <c r="G386" s="60"/>
      <c r="H386" s="60"/>
      <c r="I386" s="60"/>
      <c r="J386" s="88"/>
      <c r="K386" s="89"/>
      <c r="L386" s="90"/>
      <c r="M386" s="10" t="b">
        <f t="shared" si="6"/>
        <v>0</v>
      </c>
    </row>
    <row r="387" spans="2:13" ht="22.5">
      <c r="B387" s="15">
        <v>375</v>
      </c>
      <c r="C387" s="15"/>
      <c r="D387" s="21"/>
      <c r="E387" s="60"/>
      <c r="F387" s="85"/>
      <c r="G387" s="60"/>
      <c r="H387" s="60"/>
      <c r="I387" s="60"/>
      <c r="J387" s="88"/>
      <c r="K387" s="89"/>
      <c r="L387" s="90"/>
      <c r="M387" s="10" t="b">
        <f t="shared" si="6"/>
        <v>0</v>
      </c>
    </row>
    <row r="388" spans="2:13" ht="22.5">
      <c r="B388" s="15">
        <v>376</v>
      </c>
      <c r="C388" s="15"/>
      <c r="D388" s="21"/>
      <c r="E388" s="60"/>
      <c r="F388" s="85"/>
      <c r="G388" s="60"/>
      <c r="H388" s="60"/>
      <c r="I388" s="60"/>
      <c r="J388" s="88"/>
      <c r="K388" s="89"/>
      <c r="L388" s="90"/>
      <c r="M388" s="10" t="b">
        <f t="shared" si="6"/>
        <v>0</v>
      </c>
    </row>
    <row r="389" spans="2:13" ht="22.5">
      <c r="B389" s="15">
        <v>377</v>
      </c>
      <c r="C389" s="15"/>
      <c r="D389" s="21"/>
      <c r="E389" s="60"/>
      <c r="F389" s="85"/>
      <c r="G389" s="60"/>
      <c r="H389" s="60"/>
      <c r="I389" s="60"/>
      <c r="J389" s="88"/>
      <c r="K389" s="89"/>
      <c r="L389" s="90"/>
      <c r="M389" s="10" t="b">
        <f t="shared" si="6"/>
        <v>0</v>
      </c>
    </row>
    <row r="390" spans="2:13" ht="22.5">
      <c r="B390" s="15">
        <v>378</v>
      </c>
      <c r="C390" s="15"/>
      <c r="D390" s="21"/>
      <c r="E390" s="60"/>
      <c r="F390" s="85"/>
      <c r="G390" s="60"/>
      <c r="H390" s="60"/>
      <c r="I390" s="60"/>
      <c r="J390" s="88"/>
      <c r="K390" s="89"/>
      <c r="L390" s="90"/>
      <c r="M390" s="10" t="b">
        <f t="shared" si="6"/>
        <v>0</v>
      </c>
    </row>
    <row r="391" spans="2:13" ht="22.5">
      <c r="B391" s="15">
        <v>379</v>
      </c>
      <c r="C391" s="15"/>
      <c r="D391" s="21"/>
      <c r="E391" s="60"/>
      <c r="F391" s="85"/>
      <c r="G391" s="60"/>
      <c r="H391" s="60"/>
      <c r="I391" s="60"/>
      <c r="J391" s="88"/>
      <c r="K391" s="89"/>
      <c r="L391" s="90"/>
      <c r="M391" s="10" t="b">
        <f t="shared" si="6"/>
        <v>0</v>
      </c>
    </row>
    <row r="392" spans="2:13" ht="22.5">
      <c r="B392" s="15">
        <v>380</v>
      </c>
      <c r="C392" s="15"/>
      <c r="D392" s="21"/>
      <c r="E392" s="60"/>
      <c r="F392" s="85"/>
      <c r="G392" s="60"/>
      <c r="H392" s="60"/>
      <c r="I392" s="60"/>
      <c r="J392" s="88"/>
      <c r="K392" s="89"/>
      <c r="L392" s="90"/>
      <c r="M392" s="10" t="b">
        <f t="shared" si="6"/>
        <v>0</v>
      </c>
    </row>
    <row r="393" spans="2:13" ht="22.5">
      <c r="B393" s="15">
        <v>381</v>
      </c>
      <c r="C393" s="15"/>
      <c r="D393" s="21"/>
      <c r="E393" s="60"/>
      <c r="F393" s="85"/>
      <c r="G393" s="60"/>
      <c r="H393" s="60"/>
      <c r="I393" s="60"/>
      <c r="J393" s="88"/>
      <c r="K393" s="89"/>
      <c r="L393" s="90"/>
      <c r="M393" s="10" t="b">
        <f t="shared" si="6"/>
        <v>0</v>
      </c>
    </row>
    <row r="394" spans="2:13" ht="22.5">
      <c r="B394" s="15">
        <v>382</v>
      </c>
      <c r="C394" s="15"/>
      <c r="D394" s="21"/>
      <c r="E394" s="60"/>
      <c r="F394" s="85"/>
      <c r="G394" s="60"/>
      <c r="H394" s="60"/>
      <c r="I394" s="60"/>
      <c r="J394" s="88"/>
      <c r="K394" s="89"/>
      <c r="L394" s="90"/>
      <c r="M394" s="10" t="b">
        <f t="shared" si="6"/>
        <v>0</v>
      </c>
    </row>
    <row r="395" spans="2:13" ht="22.5">
      <c r="B395" s="15">
        <v>383</v>
      </c>
      <c r="C395" s="15"/>
      <c r="D395" s="21"/>
      <c r="E395" s="60"/>
      <c r="F395" s="85"/>
      <c r="G395" s="60"/>
      <c r="H395" s="60"/>
      <c r="I395" s="60"/>
      <c r="J395" s="88"/>
      <c r="K395" s="89"/>
      <c r="L395" s="90"/>
      <c r="M395" s="10" t="b">
        <f t="shared" si="6"/>
        <v>0</v>
      </c>
    </row>
    <row r="396" spans="2:13" ht="22.5">
      <c r="B396" s="15">
        <v>384</v>
      </c>
      <c r="C396" s="15"/>
      <c r="D396" s="21"/>
      <c r="E396" s="60"/>
      <c r="F396" s="85"/>
      <c r="G396" s="60"/>
      <c r="H396" s="60"/>
      <c r="I396" s="60"/>
      <c r="J396" s="88"/>
      <c r="K396" s="89"/>
      <c r="L396" s="90"/>
      <c r="M396" s="10" t="b">
        <f t="shared" si="6"/>
        <v>0</v>
      </c>
    </row>
    <row r="397" spans="2:13" ht="22.5">
      <c r="B397" s="15">
        <v>385</v>
      </c>
      <c r="C397" s="15"/>
      <c r="D397" s="21"/>
      <c r="E397" s="60"/>
      <c r="F397" s="85"/>
      <c r="G397" s="60"/>
      <c r="H397" s="60"/>
      <c r="I397" s="60"/>
      <c r="J397" s="88"/>
      <c r="K397" s="89"/>
      <c r="L397" s="90"/>
      <c r="M397" s="10" t="b">
        <f t="shared" si="6"/>
        <v>0</v>
      </c>
    </row>
    <row r="398" spans="2:13" ht="22.5">
      <c r="B398" s="15">
        <v>386</v>
      </c>
      <c r="C398" s="15"/>
      <c r="D398" s="21"/>
      <c r="E398" s="60"/>
      <c r="F398" s="85"/>
      <c r="G398" s="60"/>
      <c r="H398" s="60"/>
      <c r="I398" s="60"/>
      <c r="J398" s="88"/>
      <c r="K398" s="89"/>
      <c r="L398" s="90"/>
      <c r="M398" s="10" t="b">
        <f t="shared" ref="M398:M461" si="7">IF(COUNTA(E398:G398)=0,FALSE,TRUE)</f>
        <v>0</v>
      </c>
    </row>
    <row r="399" spans="2:13" ht="22.5">
      <c r="B399" s="15">
        <v>387</v>
      </c>
      <c r="C399" s="15"/>
      <c r="D399" s="21"/>
      <c r="E399" s="60"/>
      <c r="F399" s="85"/>
      <c r="G399" s="60"/>
      <c r="H399" s="60"/>
      <c r="I399" s="60"/>
      <c r="J399" s="88"/>
      <c r="K399" s="89"/>
      <c r="L399" s="90"/>
      <c r="M399" s="10" t="b">
        <f t="shared" si="7"/>
        <v>0</v>
      </c>
    </row>
    <row r="400" spans="2:13" ht="22.5">
      <c r="B400" s="15">
        <v>388</v>
      </c>
      <c r="C400" s="15"/>
      <c r="D400" s="21"/>
      <c r="E400" s="60"/>
      <c r="F400" s="85"/>
      <c r="G400" s="60"/>
      <c r="H400" s="60"/>
      <c r="I400" s="60"/>
      <c r="J400" s="88"/>
      <c r="K400" s="89"/>
      <c r="L400" s="90"/>
      <c r="M400" s="10" t="b">
        <f t="shared" si="7"/>
        <v>0</v>
      </c>
    </row>
    <row r="401" spans="2:13" ht="22.5">
      <c r="B401" s="15">
        <v>389</v>
      </c>
      <c r="C401" s="15"/>
      <c r="D401" s="21"/>
      <c r="E401" s="60"/>
      <c r="F401" s="85"/>
      <c r="G401" s="60"/>
      <c r="H401" s="60"/>
      <c r="I401" s="60"/>
      <c r="J401" s="88"/>
      <c r="K401" s="89"/>
      <c r="L401" s="90"/>
      <c r="M401" s="10" t="b">
        <f t="shared" si="7"/>
        <v>0</v>
      </c>
    </row>
    <row r="402" spans="2:13" ht="22.5">
      <c r="B402" s="15">
        <v>390</v>
      </c>
      <c r="C402" s="15"/>
      <c r="D402" s="21"/>
      <c r="E402" s="60"/>
      <c r="F402" s="85"/>
      <c r="G402" s="60"/>
      <c r="H402" s="60"/>
      <c r="I402" s="60"/>
      <c r="J402" s="88"/>
      <c r="K402" s="89"/>
      <c r="L402" s="90"/>
      <c r="M402" s="10" t="b">
        <f t="shared" si="7"/>
        <v>0</v>
      </c>
    </row>
    <row r="403" spans="2:13" ht="22.5">
      <c r="B403" s="15">
        <v>391</v>
      </c>
      <c r="C403" s="15"/>
      <c r="D403" s="21"/>
      <c r="E403" s="60"/>
      <c r="F403" s="85"/>
      <c r="G403" s="60"/>
      <c r="H403" s="60"/>
      <c r="I403" s="60"/>
      <c r="J403" s="88"/>
      <c r="K403" s="89"/>
      <c r="L403" s="90"/>
      <c r="M403" s="10" t="b">
        <f t="shared" si="7"/>
        <v>0</v>
      </c>
    </row>
    <row r="404" spans="2:13" ht="22.5">
      <c r="B404" s="15">
        <v>392</v>
      </c>
      <c r="C404" s="15"/>
      <c r="D404" s="21"/>
      <c r="E404" s="60"/>
      <c r="F404" s="85"/>
      <c r="G404" s="60"/>
      <c r="H404" s="60"/>
      <c r="I404" s="60"/>
      <c r="J404" s="88"/>
      <c r="K404" s="89"/>
      <c r="L404" s="90"/>
      <c r="M404" s="10" t="b">
        <f t="shared" si="7"/>
        <v>0</v>
      </c>
    </row>
    <row r="405" spans="2:13" ht="22.5">
      <c r="B405" s="15">
        <v>393</v>
      </c>
      <c r="C405" s="15"/>
      <c r="D405" s="21"/>
      <c r="E405" s="60"/>
      <c r="F405" s="85"/>
      <c r="G405" s="60"/>
      <c r="H405" s="60"/>
      <c r="I405" s="60"/>
      <c r="J405" s="88"/>
      <c r="K405" s="89"/>
      <c r="L405" s="90"/>
      <c r="M405" s="10" t="b">
        <f t="shared" si="7"/>
        <v>0</v>
      </c>
    </row>
    <row r="406" spans="2:13" ht="22.5">
      <c r="B406" s="15">
        <v>394</v>
      </c>
      <c r="C406" s="15"/>
      <c r="D406" s="21"/>
      <c r="E406" s="60"/>
      <c r="F406" s="85"/>
      <c r="G406" s="60"/>
      <c r="H406" s="60"/>
      <c r="I406" s="60"/>
      <c r="J406" s="88"/>
      <c r="K406" s="89"/>
      <c r="L406" s="90"/>
      <c r="M406" s="10" t="b">
        <f t="shared" si="7"/>
        <v>0</v>
      </c>
    </row>
    <row r="407" spans="2:13" ht="22.5">
      <c r="B407" s="15">
        <v>395</v>
      </c>
      <c r="C407" s="15"/>
      <c r="D407" s="21"/>
      <c r="E407" s="60"/>
      <c r="F407" s="85"/>
      <c r="G407" s="60"/>
      <c r="H407" s="60"/>
      <c r="I407" s="60"/>
      <c r="J407" s="88"/>
      <c r="K407" s="89"/>
      <c r="L407" s="90"/>
      <c r="M407" s="10" t="b">
        <f t="shared" si="7"/>
        <v>0</v>
      </c>
    </row>
    <row r="408" spans="2:13" ht="22.5">
      <c r="B408" s="15">
        <v>396</v>
      </c>
      <c r="C408" s="15"/>
      <c r="D408" s="21"/>
      <c r="E408" s="60"/>
      <c r="F408" s="85"/>
      <c r="G408" s="60"/>
      <c r="H408" s="60"/>
      <c r="I408" s="60"/>
      <c r="J408" s="88"/>
      <c r="K408" s="89"/>
      <c r="L408" s="90"/>
      <c r="M408" s="10" t="b">
        <f t="shared" si="7"/>
        <v>0</v>
      </c>
    </row>
    <row r="409" spans="2:13" ht="22.5">
      <c r="B409" s="15">
        <v>397</v>
      </c>
      <c r="C409" s="15"/>
      <c r="D409" s="21"/>
      <c r="E409" s="60"/>
      <c r="F409" s="85"/>
      <c r="G409" s="60"/>
      <c r="H409" s="60"/>
      <c r="I409" s="60"/>
      <c r="J409" s="88"/>
      <c r="K409" s="89"/>
      <c r="L409" s="90"/>
      <c r="M409" s="10" t="b">
        <f t="shared" si="7"/>
        <v>0</v>
      </c>
    </row>
    <row r="410" spans="2:13" ht="22.5">
      <c r="B410" s="15">
        <v>398</v>
      </c>
      <c r="C410" s="15"/>
      <c r="D410" s="21"/>
      <c r="E410" s="60"/>
      <c r="F410" s="85"/>
      <c r="G410" s="60"/>
      <c r="H410" s="60"/>
      <c r="I410" s="60"/>
      <c r="J410" s="88"/>
      <c r="K410" s="89"/>
      <c r="L410" s="90"/>
      <c r="M410" s="10" t="b">
        <f t="shared" si="7"/>
        <v>0</v>
      </c>
    </row>
    <row r="411" spans="2:13" ht="22.5">
      <c r="B411" s="15">
        <v>399</v>
      </c>
      <c r="C411" s="15"/>
      <c r="D411" s="21"/>
      <c r="E411" s="60"/>
      <c r="F411" s="85"/>
      <c r="G411" s="60"/>
      <c r="H411" s="60"/>
      <c r="I411" s="60"/>
      <c r="J411" s="88"/>
      <c r="K411" s="89"/>
      <c r="L411" s="90"/>
      <c r="M411" s="10" t="b">
        <f t="shared" si="7"/>
        <v>0</v>
      </c>
    </row>
    <row r="412" spans="2:13" ht="22.5">
      <c r="B412" s="15">
        <v>400</v>
      </c>
      <c r="C412" s="15"/>
      <c r="D412" s="21"/>
      <c r="E412" s="60"/>
      <c r="F412" s="85"/>
      <c r="G412" s="60"/>
      <c r="H412" s="60"/>
      <c r="I412" s="60"/>
      <c r="J412" s="88"/>
      <c r="K412" s="89"/>
      <c r="L412" s="90"/>
      <c r="M412" s="10" t="b">
        <f t="shared" si="7"/>
        <v>0</v>
      </c>
    </row>
    <row r="413" spans="2:13" ht="22.5">
      <c r="B413" s="15">
        <v>401</v>
      </c>
      <c r="C413" s="15"/>
      <c r="D413" s="21"/>
      <c r="E413" s="60"/>
      <c r="F413" s="85"/>
      <c r="G413" s="60"/>
      <c r="H413" s="60"/>
      <c r="I413" s="60"/>
      <c r="J413" s="88"/>
      <c r="K413" s="89"/>
      <c r="L413" s="90"/>
      <c r="M413" s="10" t="b">
        <f t="shared" si="7"/>
        <v>0</v>
      </c>
    </row>
    <row r="414" spans="2:13" ht="22.5">
      <c r="B414" s="15">
        <v>402</v>
      </c>
      <c r="C414" s="15"/>
      <c r="D414" s="21"/>
      <c r="E414" s="60"/>
      <c r="F414" s="85"/>
      <c r="G414" s="60"/>
      <c r="H414" s="60"/>
      <c r="I414" s="60"/>
      <c r="J414" s="88"/>
      <c r="K414" s="89"/>
      <c r="L414" s="90"/>
      <c r="M414" s="10" t="b">
        <f t="shared" si="7"/>
        <v>0</v>
      </c>
    </row>
    <row r="415" spans="2:13" ht="22.5">
      <c r="B415" s="15">
        <v>403</v>
      </c>
      <c r="C415" s="15"/>
      <c r="D415" s="21"/>
      <c r="E415" s="60"/>
      <c r="F415" s="85"/>
      <c r="G415" s="60"/>
      <c r="H415" s="60"/>
      <c r="I415" s="60"/>
      <c r="J415" s="88"/>
      <c r="K415" s="89"/>
      <c r="L415" s="90"/>
      <c r="M415" s="10" t="b">
        <f t="shared" si="7"/>
        <v>0</v>
      </c>
    </row>
    <row r="416" spans="2:13" ht="22.5">
      <c r="B416" s="15">
        <v>404</v>
      </c>
      <c r="C416" s="15"/>
      <c r="D416" s="21"/>
      <c r="E416" s="60"/>
      <c r="F416" s="85"/>
      <c r="G416" s="60"/>
      <c r="H416" s="60"/>
      <c r="I416" s="60"/>
      <c r="J416" s="88"/>
      <c r="K416" s="89"/>
      <c r="L416" s="90"/>
      <c r="M416" s="10" t="b">
        <f t="shared" si="7"/>
        <v>0</v>
      </c>
    </row>
    <row r="417" spans="2:13" ht="22.5">
      <c r="B417" s="15">
        <v>405</v>
      </c>
      <c r="C417" s="15"/>
      <c r="D417" s="21"/>
      <c r="E417" s="60"/>
      <c r="F417" s="85"/>
      <c r="G417" s="60"/>
      <c r="H417" s="60"/>
      <c r="I417" s="60"/>
      <c r="J417" s="88"/>
      <c r="K417" s="89"/>
      <c r="L417" s="90"/>
      <c r="M417" s="10" t="b">
        <f t="shared" si="7"/>
        <v>0</v>
      </c>
    </row>
    <row r="418" spans="2:13" ht="22.5">
      <c r="B418" s="15">
        <v>406</v>
      </c>
      <c r="C418" s="15"/>
      <c r="D418" s="21"/>
      <c r="E418" s="60"/>
      <c r="F418" s="85"/>
      <c r="G418" s="60"/>
      <c r="H418" s="60"/>
      <c r="I418" s="60"/>
      <c r="J418" s="88"/>
      <c r="K418" s="89"/>
      <c r="L418" s="90"/>
      <c r="M418" s="10" t="b">
        <f t="shared" si="7"/>
        <v>0</v>
      </c>
    </row>
    <row r="419" spans="2:13" ht="22.5">
      <c r="B419" s="15">
        <v>407</v>
      </c>
      <c r="C419" s="15"/>
      <c r="D419" s="21"/>
      <c r="E419" s="60"/>
      <c r="F419" s="85"/>
      <c r="G419" s="60"/>
      <c r="H419" s="60"/>
      <c r="I419" s="60"/>
      <c r="J419" s="88"/>
      <c r="K419" s="89"/>
      <c r="L419" s="90"/>
      <c r="M419" s="10" t="b">
        <f t="shared" si="7"/>
        <v>0</v>
      </c>
    </row>
    <row r="420" spans="2:13" ht="22.5">
      <c r="B420" s="15">
        <v>408</v>
      </c>
      <c r="C420" s="15"/>
      <c r="D420" s="21"/>
      <c r="E420" s="60"/>
      <c r="F420" s="85"/>
      <c r="G420" s="60"/>
      <c r="H420" s="60"/>
      <c r="I420" s="60"/>
      <c r="J420" s="88"/>
      <c r="K420" s="89"/>
      <c r="L420" s="90"/>
      <c r="M420" s="10" t="b">
        <f t="shared" si="7"/>
        <v>0</v>
      </c>
    </row>
    <row r="421" spans="2:13" ht="22.5">
      <c r="B421" s="15">
        <v>409</v>
      </c>
      <c r="C421" s="15"/>
      <c r="D421" s="21"/>
      <c r="E421" s="60"/>
      <c r="F421" s="85"/>
      <c r="G421" s="60"/>
      <c r="H421" s="60"/>
      <c r="I421" s="60"/>
      <c r="J421" s="88"/>
      <c r="K421" s="89"/>
      <c r="L421" s="90"/>
      <c r="M421" s="10" t="b">
        <f t="shared" si="7"/>
        <v>0</v>
      </c>
    </row>
    <row r="422" spans="2:13" ht="22.5">
      <c r="B422" s="15">
        <v>410</v>
      </c>
      <c r="C422" s="15"/>
      <c r="D422" s="21"/>
      <c r="E422" s="60"/>
      <c r="F422" s="85"/>
      <c r="G422" s="60"/>
      <c r="H422" s="60"/>
      <c r="I422" s="60"/>
      <c r="J422" s="88"/>
      <c r="K422" s="89"/>
      <c r="L422" s="90"/>
      <c r="M422" s="10" t="b">
        <f t="shared" si="7"/>
        <v>0</v>
      </c>
    </row>
    <row r="423" spans="2:13" ht="22.5">
      <c r="B423" s="15">
        <v>411</v>
      </c>
      <c r="C423" s="15"/>
      <c r="D423" s="21"/>
      <c r="E423" s="60"/>
      <c r="F423" s="85"/>
      <c r="G423" s="60"/>
      <c r="H423" s="60"/>
      <c r="I423" s="60"/>
      <c r="J423" s="88"/>
      <c r="K423" s="89"/>
      <c r="L423" s="90"/>
      <c r="M423" s="10" t="b">
        <f t="shared" si="7"/>
        <v>0</v>
      </c>
    </row>
    <row r="424" spans="2:13" ht="22.5">
      <c r="B424" s="15">
        <v>412</v>
      </c>
      <c r="C424" s="15"/>
      <c r="D424" s="21"/>
      <c r="E424" s="60"/>
      <c r="F424" s="85"/>
      <c r="G424" s="60"/>
      <c r="H424" s="60"/>
      <c r="I424" s="60"/>
      <c r="J424" s="88"/>
      <c r="K424" s="89"/>
      <c r="L424" s="90"/>
      <c r="M424" s="10" t="b">
        <f t="shared" si="7"/>
        <v>0</v>
      </c>
    </row>
    <row r="425" spans="2:13" ht="22.5">
      <c r="B425" s="15">
        <v>413</v>
      </c>
      <c r="C425" s="15"/>
      <c r="D425" s="21"/>
      <c r="E425" s="60"/>
      <c r="F425" s="85"/>
      <c r="G425" s="60"/>
      <c r="H425" s="60"/>
      <c r="I425" s="60"/>
      <c r="J425" s="88"/>
      <c r="K425" s="89"/>
      <c r="L425" s="90"/>
      <c r="M425" s="10" t="b">
        <f t="shared" si="7"/>
        <v>0</v>
      </c>
    </row>
    <row r="426" spans="2:13" ht="22.5">
      <c r="B426" s="15">
        <v>414</v>
      </c>
      <c r="C426" s="15"/>
      <c r="D426" s="21"/>
      <c r="E426" s="60"/>
      <c r="F426" s="85"/>
      <c r="G426" s="60"/>
      <c r="H426" s="60"/>
      <c r="I426" s="60"/>
      <c r="J426" s="88"/>
      <c r="K426" s="89"/>
      <c r="L426" s="90"/>
      <c r="M426" s="10" t="b">
        <f t="shared" si="7"/>
        <v>0</v>
      </c>
    </row>
    <row r="427" spans="2:13" ht="22.5">
      <c r="B427" s="15">
        <v>415</v>
      </c>
      <c r="C427" s="15"/>
      <c r="D427" s="21"/>
      <c r="E427" s="60"/>
      <c r="F427" s="85"/>
      <c r="G427" s="60"/>
      <c r="H427" s="60"/>
      <c r="I427" s="60"/>
      <c r="J427" s="88"/>
      <c r="K427" s="89"/>
      <c r="L427" s="90"/>
      <c r="M427" s="10" t="b">
        <f t="shared" si="7"/>
        <v>0</v>
      </c>
    </row>
    <row r="428" spans="2:13" ht="22.5">
      <c r="B428" s="15">
        <v>416</v>
      </c>
      <c r="C428" s="15"/>
      <c r="D428" s="21"/>
      <c r="E428" s="60"/>
      <c r="F428" s="85"/>
      <c r="G428" s="60"/>
      <c r="H428" s="60"/>
      <c r="I428" s="60"/>
      <c r="J428" s="88"/>
      <c r="K428" s="89"/>
      <c r="L428" s="90"/>
      <c r="M428" s="10" t="b">
        <f t="shared" si="7"/>
        <v>0</v>
      </c>
    </row>
    <row r="429" spans="2:13" ht="22.5">
      <c r="B429" s="15">
        <v>417</v>
      </c>
      <c r="C429" s="15"/>
      <c r="D429" s="21"/>
      <c r="E429" s="60"/>
      <c r="F429" s="85"/>
      <c r="G429" s="60"/>
      <c r="H429" s="60"/>
      <c r="I429" s="60"/>
      <c r="J429" s="88"/>
      <c r="K429" s="89"/>
      <c r="L429" s="90"/>
      <c r="M429" s="10" t="b">
        <f t="shared" si="7"/>
        <v>0</v>
      </c>
    </row>
    <row r="430" spans="2:13" ht="22.5">
      <c r="B430" s="15">
        <v>418</v>
      </c>
      <c r="C430" s="15"/>
      <c r="D430" s="21"/>
      <c r="E430" s="60"/>
      <c r="F430" s="85"/>
      <c r="G430" s="60"/>
      <c r="H430" s="60"/>
      <c r="I430" s="60"/>
      <c r="J430" s="88"/>
      <c r="K430" s="89"/>
      <c r="L430" s="90"/>
      <c r="M430" s="10" t="b">
        <f t="shared" si="7"/>
        <v>0</v>
      </c>
    </row>
    <row r="431" spans="2:13" ht="22.5">
      <c r="B431" s="15">
        <v>419</v>
      </c>
      <c r="C431" s="15"/>
      <c r="D431" s="21"/>
      <c r="E431" s="60"/>
      <c r="F431" s="85"/>
      <c r="G431" s="60"/>
      <c r="H431" s="60"/>
      <c r="I431" s="60"/>
      <c r="J431" s="88"/>
      <c r="K431" s="89"/>
      <c r="L431" s="90"/>
      <c r="M431" s="10" t="b">
        <f t="shared" si="7"/>
        <v>0</v>
      </c>
    </row>
    <row r="432" spans="2:13" ht="22.5">
      <c r="B432" s="15">
        <v>420</v>
      </c>
      <c r="C432" s="15"/>
      <c r="D432" s="21"/>
      <c r="E432" s="60"/>
      <c r="F432" s="85"/>
      <c r="G432" s="60"/>
      <c r="H432" s="60"/>
      <c r="I432" s="60"/>
      <c r="J432" s="88"/>
      <c r="K432" s="89"/>
      <c r="L432" s="90"/>
      <c r="M432" s="10" t="b">
        <f t="shared" si="7"/>
        <v>0</v>
      </c>
    </row>
    <row r="433" spans="2:13" ht="22.5">
      <c r="B433" s="15">
        <v>421</v>
      </c>
      <c r="C433" s="15"/>
      <c r="D433" s="21"/>
      <c r="E433" s="60"/>
      <c r="F433" s="85"/>
      <c r="G433" s="60"/>
      <c r="H433" s="60"/>
      <c r="I433" s="60"/>
      <c r="J433" s="88"/>
      <c r="K433" s="89"/>
      <c r="L433" s="90"/>
      <c r="M433" s="10" t="b">
        <f t="shared" si="7"/>
        <v>0</v>
      </c>
    </row>
    <row r="434" spans="2:13" ht="22.5">
      <c r="B434" s="15">
        <v>422</v>
      </c>
      <c r="C434" s="15"/>
      <c r="D434" s="21"/>
      <c r="E434" s="60"/>
      <c r="F434" s="85"/>
      <c r="G434" s="60"/>
      <c r="H434" s="60"/>
      <c r="I434" s="60"/>
      <c r="J434" s="88"/>
      <c r="K434" s="89"/>
      <c r="L434" s="90"/>
      <c r="M434" s="10" t="b">
        <f t="shared" si="7"/>
        <v>0</v>
      </c>
    </row>
    <row r="435" spans="2:13" ht="22.5">
      <c r="B435" s="15">
        <v>423</v>
      </c>
      <c r="C435" s="15"/>
      <c r="D435" s="21"/>
      <c r="E435" s="60"/>
      <c r="F435" s="85"/>
      <c r="G435" s="60"/>
      <c r="H435" s="60"/>
      <c r="I435" s="60"/>
      <c r="J435" s="88"/>
      <c r="K435" s="89"/>
      <c r="L435" s="90"/>
      <c r="M435" s="10" t="b">
        <f t="shared" si="7"/>
        <v>0</v>
      </c>
    </row>
    <row r="436" spans="2:13" ht="22.5">
      <c r="B436" s="15">
        <v>424</v>
      </c>
      <c r="C436" s="15"/>
      <c r="D436" s="21"/>
      <c r="E436" s="60"/>
      <c r="F436" s="85"/>
      <c r="G436" s="60"/>
      <c r="H436" s="60"/>
      <c r="I436" s="60"/>
      <c r="J436" s="88"/>
      <c r="K436" s="89"/>
      <c r="L436" s="90"/>
      <c r="M436" s="10" t="b">
        <f t="shared" si="7"/>
        <v>0</v>
      </c>
    </row>
    <row r="437" spans="2:13" ht="22.5">
      <c r="B437" s="15">
        <v>425</v>
      </c>
      <c r="C437" s="15"/>
      <c r="D437" s="21"/>
      <c r="E437" s="60"/>
      <c r="F437" s="85"/>
      <c r="G437" s="60"/>
      <c r="H437" s="60"/>
      <c r="I437" s="60"/>
      <c r="J437" s="88"/>
      <c r="K437" s="89"/>
      <c r="L437" s="90"/>
      <c r="M437" s="10" t="b">
        <f t="shared" si="7"/>
        <v>0</v>
      </c>
    </row>
    <row r="438" spans="2:13" ht="22.5">
      <c r="B438" s="15">
        <v>426</v>
      </c>
      <c r="C438" s="15"/>
      <c r="D438" s="21"/>
      <c r="E438" s="60"/>
      <c r="F438" s="85"/>
      <c r="G438" s="60"/>
      <c r="H438" s="60"/>
      <c r="I438" s="60"/>
      <c r="J438" s="88"/>
      <c r="K438" s="89"/>
      <c r="L438" s="90"/>
      <c r="M438" s="10" t="b">
        <f t="shared" si="7"/>
        <v>0</v>
      </c>
    </row>
    <row r="439" spans="2:13" ht="22.5">
      <c r="B439" s="15">
        <v>427</v>
      </c>
      <c r="C439" s="15"/>
      <c r="D439" s="21"/>
      <c r="E439" s="60"/>
      <c r="F439" s="85"/>
      <c r="G439" s="60"/>
      <c r="H439" s="60"/>
      <c r="I439" s="60"/>
      <c r="J439" s="88"/>
      <c r="K439" s="89"/>
      <c r="L439" s="90"/>
      <c r="M439" s="10" t="b">
        <f t="shared" si="7"/>
        <v>0</v>
      </c>
    </row>
    <row r="440" spans="2:13" ht="22.5">
      <c r="B440" s="15">
        <v>428</v>
      </c>
      <c r="C440" s="15"/>
      <c r="D440" s="21"/>
      <c r="E440" s="60"/>
      <c r="F440" s="85"/>
      <c r="G440" s="60"/>
      <c r="H440" s="60"/>
      <c r="I440" s="60"/>
      <c r="J440" s="88"/>
      <c r="K440" s="89"/>
      <c r="L440" s="90"/>
      <c r="M440" s="10" t="b">
        <f t="shared" si="7"/>
        <v>0</v>
      </c>
    </row>
    <row r="441" spans="2:13" ht="22.5">
      <c r="B441" s="15">
        <v>429</v>
      </c>
      <c r="C441" s="15"/>
      <c r="D441" s="21"/>
      <c r="E441" s="60"/>
      <c r="F441" s="85"/>
      <c r="G441" s="60"/>
      <c r="H441" s="60"/>
      <c r="I441" s="60"/>
      <c r="J441" s="88"/>
      <c r="K441" s="89"/>
      <c r="L441" s="90"/>
      <c r="M441" s="10" t="b">
        <f t="shared" si="7"/>
        <v>0</v>
      </c>
    </row>
    <row r="442" spans="2:13" ht="22.5">
      <c r="B442" s="15">
        <v>430</v>
      </c>
      <c r="C442" s="15"/>
      <c r="D442" s="21"/>
      <c r="E442" s="60"/>
      <c r="F442" s="85"/>
      <c r="G442" s="60"/>
      <c r="H442" s="60"/>
      <c r="I442" s="60"/>
      <c r="J442" s="88"/>
      <c r="K442" s="89"/>
      <c r="L442" s="90"/>
      <c r="M442" s="10" t="b">
        <f t="shared" si="7"/>
        <v>0</v>
      </c>
    </row>
    <row r="443" spans="2:13" ht="22.5">
      <c r="B443" s="15">
        <v>431</v>
      </c>
      <c r="C443" s="15"/>
      <c r="D443" s="21"/>
      <c r="E443" s="60"/>
      <c r="F443" s="85"/>
      <c r="G443" s="60"/>
      <c r="H443" s="60"/>
      <c r="I443" s="60"/>
      <c r="J443" s="88"/>
      <c r="K443" s="89"/>
      <c r="L443" s="90"/>
      <c r="M443" s="10" t="b">
        <f t="shared" si="7"/>
        <v>0</v>
      </c>
    </row>
    <row r="444" spans="2:13" ht="22.5">
      <c r="B444" s="15">
        <v>432</v>
      </c>
      <c r="C444" s="15"/>
      <c r="D444" s="21"/>
      <c r="E444" s="60"/>
      <c r="F444" s="85"/>
      <c r="G444" s="60"/>
      <c r="H444" s="60"/>
      <c r="I444" s="60"/>
      <c r="J444" s="88"/>
      <c r="K444" s="89"/>
      <c r="L444" s="90"/>
      <c r="M444" s="10" t="b">
        <f t="shared" si="7"/>
        <v>0</v>
      </c>
    </row>
    <row r="445" spans="2:13" ht="22.5">
      <c r="B445" s="15">
        <v>433</v>
      </c>
      <c r="C445" s="15"/>
      <c r="D445" s="21"/>
      <c r="E445" s="60"/>
      <c r="F445" s="85"/>
      <c r="G445" s="60"/>
      <c r="H445" s="60"/>
      <c r="I445" s="60"/>
      <c r="J445" s="88"/>
      <c r="K445" s="89"/>
      <c r="L445" s="90"/>
      <c r="M445" s="10" t="b">
        <f t="shared" si="7"/>
        <v>0</v>
      </c>
    </row>
    <row r="446" spans="2:13" ht="22.5">
      <c r="B446" s="15">
        <v>434</v>
      </c>
      <c r="C446" s="15"/>
      <c r="D446" s="21"/>
      <c r="E446" s="60"/>
      <c r="F446" s="85"/>
      <c r="G446" s="60"/>
      <c r="H446" s="60"/>
      <c r="I446" s="60"/>
      <c r="J446" s="88"/>
      <c r="K446" s="89"/>
      <c r="L446" s="90"/>
      <c r="M446" s="10" t="b">
        <f t="shared" si="7"/>
        <v>0</v>
      </c>
    </row>
    <row r="447" spans="2:13" ht="22.5">
      <c r="B447" s="15">
        <v>435</v>
      </c>
      <c r="C447" s="15"/>
      <c r="D447" s="21"/>
      <c r="E447" s="60"/>
      <c r="F447" s="85"/>
      <c r="G447" s="60"/>
      <c r="H447" s="60"/>
      <c r="I447" s="60"/>
      <c r="J447" s="88"/>
      <c r="K447" s="89"/>
      <c r="L447" s="90"/>
      <c r="M447" s="10" t="b">
        <f t="shared" si="7"/>
        <v>0</v>
      </c>
    </row>
    <row r="448" spans="2:13" ht="22.5">
      <c r="B448" s="15">
        <v>436</v>
      </c>
      <c r="C448" s="15"/>
      <c r="D448" s="21"/>
      <c r="E448" s="60"/>
      <c r="F448" s="85"/>
      <c r="G448" s="60"/>
      <c r="H448" s="60"/>
      <c r="I448" s="60"/>
      <c r="J448" s="88"/>
      <c r="K448" s="89"/>
      <c r="L448" s="90"/>
      <c r="M448" s="10" t="b">
        <f t="shared" si="7"/>
        <v>0</v>
      </c>
    </row>
    <row r="449" spans="2:13" ht="22.5">
      <c r="B449" s="15">
        <v>437</v>
      </c>
      <c r="C449" s="15"/>
      <c r="D449" s="21"/>
      <c r="E449" s="60"/>
      <c r="F449" s="85"/>
      <c r="G449" s="60"/>
      <c r="H449" s="60"/>
      <c r="I449" s="60"/>
      <c r="J449" s="88"/>
      <c r="K449" s="89"/>
      <c r="L449" s="90"/>
      <c r="M449" s="10" t="b">
        <f t="shared" si="7"/>
        <v>0</v>
      </c>
    </row>
    <row r="450" spans="2:13" ht="22.5">
      <c r="B450" s="15">
        <v>438</v>
      </c>
      <c r="C450" s="15"/>
      <c r="D450" s="21"/>
      <c r="E450" s="60"/>
      <c r="F450" s="85"/>
      <c r="G450" s="60"/>
      <c r="H450" s="60"/>
      <c r="I450" s="60"/>
      <c r="J450" s="88"/>
      <c r="K450" s="89"/>
      <c r="L450" s="90"/>
      <c r="M450" s="10" t="b">
        <f t="shared" si="7"/>
        <v>0</v>
      </c>
    </row>
    <row r="451" spans="2:13" ht="22.5">
      <c r="B451" s="15">
        <v>439</v>
      </c>
      <c r="C451" s="15"/>
      <c r="D451" s="21"/>
      <c r="E451" s="60"/>
      <c r="F451" s="85"/>
      <c r="G451" s="60"/>
      <c r="H451" s="60"/>
      <c r="I451" s="60"/>
      <c r="J451" s="88"/>
      <c r="K451" s="89"/>
      <c r="L451" s="90"/>
      <c r="M451" s="10" t="b">
        <f t="shared" si="7"/>
        <v>0</v>
      </c>
    </row>
    <row r="452" spans="2:13" ht="22.5">
      <c r="B452" s="15">
        <v>440</v>
      </c>
      <c r="C452" s="15"/>
      <c r="D452" s="21"/>
      <c r="E452" s="60"/>
      <c r="F452" s="85"/>
      <c r="G452" s="60"/>
      <c r="H452" s="60"/>
      <c r="I452" s="60"/>
      <c r="J452" s="88"/>
      <c r="K452" s="89"/>
      <c r="L452" s="90"/>
      <c r="M452" s="10" t="b">
        <f t="shared" si="7"/>
        <v>0</v>
      </c>
    </row>
    <row r="453" spans="2:13" ht="22.5">
      <c r="B453" s="15">
        <v>441</v>
      </c>
      <c r="C453" s="15"/>
      <c r="D453" s="21"/>
      <c r="E453" s="60"/>
      <c r="F453" s="85"/>
      <c r="G453" s="60"/>
      <c r="H453" s="60"/>
      <c r="I453" s="60"/>
      <c r="J453" s="88"/>
      <c r="K453" s="89"/>
      <c r="L453" s="90"/>
      <c r="M453" s="10" t="b">
        <f t="shared" si="7"/>
        <v>0</v>
      </c>
    </row>
    <row r="454" spans="2:13" ht="22.5">
      <c r="B454" s="15">
        <v>442</v>
      </c>
      <c r="C454" s="15"/>
      <c r="D454" s="21"/>
      <c r="E454" s="60"/>
      <c r="F454" s="85"/>
      <c r="G454" s="60"/>
      <c r="H454" s="60"/>
      <c r="I454" s="60"/>
      <c r="J454" s="88"/>
      <c r="K454" s="89"/>
      <c r="L454" s="90"/>
      <c r="M454" s="10" t="b">
        <f t="shared" si="7"/>
        <v>0</v>
      </c>
    </row>
    <row r="455" spans="2:13" ht="22.5">
      <c r="B455" s="15">
        <v>443</v>
      </c>
      <c r="C455" s="15"/>
      <c r="D455" s="21"/>
      <c r="E455" s="60"/>
      <c r="F455" s="85"/>
      <c r="G455" s="60"/>
      <c r="H455" s="60"/>
      <c r="I455" s="60"/>
      <c r="J455" s="88"/>
      <c r="K455" s="89"/>
      <c r="L455" s="90"/>
      <c r="M455" s="10" t="b">
        <f t="shared" si="7"/>
        <v>0</v>
      </c>
    </row>
    <row r="456" spans="2:13" ht="22.5">
      <c r="B456" s="15">
        <v>444</v>
      </c>
      <c r="C456" s="15"/>
      <c r="D456" s="21"/>
      <c r="E456" s="60"/>
      <c r="F456" s="85"/>
      <c r="G456" s="60"/>
      <c r="H456" s="60"/>
      <c r="I456" s="60"/>
      <c r="J456" s="88"/>
      <c r="K456" s="89"/>
      <c r="L456" s="90"/>
      <c r="M456" s="10" t="b">
        <f t="shared" si="7"/>
        <v>0</v>
      </c>
    </row>
    <row r="457" spans="2:13" ht="22.5">
      <c r="B457" s="15">
        <v>445</v>
      </c>
      <c r="C457" s="15"/>
      <c r="D457" s="21"/>
      <c r="E457" s="60"/>
      <c r="F457" s="85"/>
      <c r="G457" s="60"/>
      <c r="H457" s="60"/>
      <c r="I457" s="60"/>
      <c r="J457" s="88"/>
      <c r="K457" s="89"/>
      <c r="L457" s="90"/>
      <c r="M457" s="10" t="b">
        <f t="shared" si="7"/>
        <v>0</v>
      </c>
    </row>
    <row r="458" spans="2:13" ht="22.5">
      <c r="B458" s="15">
        <v>446</v>
      </c>
      <c r="C458" s="15"/>
      <c r="D458" s="21"/>
      <c r="E458" s="60"/>
      <c r="F458" s="85"/>
      <c r="G458" s="60"/>
      <c r="H458" s="60"/>
      <c r="I458" s="60"/>
      <c r="J458" s="88"/>
      <c r="K458" s="89"/>
      <c r="L458" s="90"/>
      <c r="M458" s="10" t="b">
        <f t="shared" si="7"/>
        <v>0</v>
      </c>
    </row>
    <row r="459" spans="2:13" ht="22.5">
      <c r="B459" s="15">
        <v>447</v>
      </c>
      <c r="C459" s="15"/>
      <c r="D459" s="21"/>
      <c r="E459" s="60"/>
      <c r="F459" s="85"/>
      <c r="G459" s="60"/>
      <c r="H459" s="60"/>
      <c r="I459" s="60"/>
      <c r="J459" s="88"/>
      <c r="K459" s="89"/>
      <c r="L459" s="90"/>
      <c r="M459" s="10" t="b">
        <f t="shared" si="7"/>
        <v>0</v>
      </c>
    </row>
    <row r="460" spans="2:13" ht="22.5">
      <c r="B460" s="15">
        <v>448</v>
      </c>
      <c r="C460" s="15"/>
      <c r="D460" s="21"/>
      <c r="E460" s="60"/>
      <c r="F460" s="85"/>
      <c r="G460" s="60"/>
      <c r="H460" s="60"/>
      <c r="I460" s="60"/>
      <c r="J460" s="88"/>
      <c r="K460" s="89"/>
      <c r="L460" s="90"/>
      <c r="M460" s="10" t="b">
        <f t="shared" si="7"/>
        <v>0</v>
      </c>
    </row>
    <row r="461" spans="2:13" ht="22.5">
      <c r="B461" s="15">
        <v>449</v>
      </c>
      <c r="C461" s="15"/>
      <c r="D461" s="21"/>
      <c r="E461" s="60"/>
      <c r="F461" s="85"/>
      <c r="G461" s="60"/>
      <c r="H461" s="60"/>
      <c r="I461" s="60"/>
      <c r="J461" s="88"/>
      <c r="K461" s="89"/>
      <c r="L461" s="90"/>
      <c r="M461" s="10" t="b">
        <f t="shared" si="7"/>
        <v>0</v>
      </c>
    </row>
    <row r="462" spans="2:13" ht="22.5">
      <c r="B462" s="15">
        <v>450</v>
      </c>
      <c r="C462" s="15"/>
      <c r="D462" s="21"/>
      <c r="E462" s="60"/>
      <c r="F462" s="85"/>
      <c r="G462" s="60"/>
      <c r="H462" s="60"/>
      <c r="I462" s="60"/>
      <c r="J462" s="88"/>
      <c r="K462" s="89"/>
      <c r="L462" s="90"/>
      <c r="M462" s="10" t="b">
        <f t="shared" ref="M462:M512" si="8">IF(COUNTA(E462:G462)=0,FALSE,TRUE)</f>
        <v>0</v>
      </c>
    </row>
    <row r="463" spans="2:13" ht="22.5">
      <c r="B463" s="15">
        <v>451</v>
      </c>
      <c r="C463" s="15"/>
      <c r="D463" s="21"/>
      <c r="E463" s="60"/>
      <c r="F463" s="85"/>
      <c r="G463" s="60"/>
      <c r="H463" s="60"/>
      <c r="I463" s="60"/>
      <c r="J463" s="88"/>
      <c r="K463" s="89"/>
      <c r="L463" s="90"/>
      <c r="M463" s="10" t="b">
        <f t="shared" si="8"/>
        <v>0</v>
      </c>
    </row>
    <row r="464" spans="2:13" ht="22.5">
      <c r="B464" s="15">
        <v>452</v>
      </c>
      <c r="C464" s="15"/>
      <c r="D464" s="21"/>
      <c r="E464" s="60"/>
      <c r="F464" s="85"/>
      <c r="G464" s="60"/>
      <c r="H464" s="60"/>
      <c r="I464" s="60"/>
      <c r="J464" s="88"/>
      <c r="K464" s="89"/>
      <c r="L464" s="90"/>
      <c r="M464" s="10" t="b">
        <f t="shared" si="8"/>
        <v>0</v>
      </c>
    </row>
    <row r="465" spans="2:13" ht="22.5">
      <c r="B465" s="15">
        <v>453</v>
      </c>
      <c r="C465" s="15"/>
      <c r="D465" s="21"/>
      <c r="E465" s="60"/>
      <c r="F465" s="85"/>
      <c r="G465" s="60"/>
      <c r="H465" s="60"/>
      <c r="I465" s="60"/>
      <c r="J465" s="88"/>
      <c r="K465" s="89"/>
      <c r="L465" s="90"/>
      <c r="M465" s="10" t="b">
        <f t="shared" si="8"/>
        <v>0</v>
      </c>
    </row>
    <row r="466" spans="2:13" ht="22.5">
      <c r="B466" s="15">
        <v>454</v>
      </c>
      <c r="C466" s="15"/>
      <c r="D466" s="21"/>
      <c r="E466" s="60"/>
      <c r="F466" s="85"/>
      <c r="G466" s="60"/>
      <c r="H466" s="60"/>
      <c r="I466" s="60"/>
      <c r="J466" s="88"/>
      <c r="K466" s="89"/>
      <c r="L466" s="90"/>
      <c r="M466" s="10" t="b">
        <f t="shared" si="8"/>
        <v>0</v>
      </c>
    </row>
    <row r="467" spans="2:13" ht="22.5">
      <c r="B467" s="15">
        <v>455</v>
      </c>
      <c r="C467" s="15"/>
      <c r="D467" s="21"/>
      <c r="E467" s="60"/>
      <c r="F467" s="85"/>
      <c r="G467" s="60"/>
      <c r="H467" s="60"/>
      <c r="I467" s="60"/>
      <c r="J467" s="88"/>
      <c r="K467" s="89"/>
      <c r="L467" s="90"/>
      <c r="M467" s="10" t="b">
        <f t="shared" si="8"/>
        <v>0</v>
      </c>
    </row>
    <row r="468" spans="2:13" ht="22.5">
      <c r="B468" s="15">
        <v>456</v>
      </c>
      <c r="C468" s="15"/>
      <c r="D468" s="21"/>
      <c r="E468" s="60"/>
      <c r="F468" s="85"/>
      <c r="G468" s="60"/>
      <c r="H468" s="60"/>
      <c r="I468" s="60"/>
      <c r="J468" s="88"/>
      <c r="K468" s="89"/>
      <c r="L468" s="90"/>
      <c r="M468" s="10" t="b">
        <f t="shared" si="8"/>
        <v>0</v>
      </c>
    </row>
    <row r="469" spans="2:13" ht="22.5">
      <c r="B469" s="15">
        <v>457</v>
      </c>
      <c r="C469" s="15"/>
      <c r="D469" s="21"/>
      <c r="E469" s="60"/>
      <c r="F469" s="85"/>
      <c r="G469" s="60"/>
      <c r="H469" s="60"/>
      <c r="I469" s="60"/>
      <c r="J469" s="88"/>
      <c r="K469" s="89"/>
      <c r="L469" s="90"/>
      <c r="M469" s="10" t="b">
        <f t="shared" si="8"/>
        <v>0</v>
      </c>
    </row>
    <row r="470" spans="2:13" ht="22.5">
      <c r="B470" s="15">
        <v>458</v>
      </c>
      <c r="C470" s="15"/>
      <c r="D470" s="21"/>
      <c r="E470" s="60"/>
      <c r="F470" s="85"/>
      <c r="G470" s="60"/>
      <c r="H470" s="60"/>
      <c r="I470" s="60"/>
      <c r="J470" s="88"/>
      <c r="K470" s="89"/>
      <c r="L470" s="90"/>
      <c r="M470" s="10" t="b">
        <f t="shared" si="8"/>
        <v>0</v>
      </c>
    </row>
    <row r="471" spans="2:13" ht="22.5">
      <c r="B471" s="15">
        <v>459</v>
      </c>
      <c r="C471" s="15"/>
      <c r="D471" s="21"/>
      <c r="E471" s="60"/>
      <c r="F471" s="85"/>
      <c r="G471" s="60"/>
      <c r="H471" s="60"/>
      <c r="I471" s="60"/>
      <c r="J471" s="88"/>
      <c r="K471" s="89"/>
      <c r="L471" s="90"/>
      <c r="M471" s="10" t="b">
        <f t="shared" si="8"/>
        <v>0</v>
      </c>
    </row>
    <row r="472" spans="2:13" ht="22.5">
      <c r="B472" s="15">
        <v>460</v>
      </c>
      <c r="C472" s="15"/>
      <c r="D472" s="21"/>
      <c r="E472" s="60"/>
      <c r="F472" s="85"/>
      <c r="G472" s="60"/>
      <c r="H472" s="60"/>
      <c r="I472" s="60"/>
      <c r="J472" s="88"/>
      <c r="K472" s="89"/>
      <c r="L472" s="90"/>
      <c r="M472" s="10" t="b">
        <f t="shared" si="8"/>
        <v>0</v>
      </c>
    </row>
    <row r="473" spans="2:13" ht="22.5">
      <c r="B473" s="15">
        <v>461</v>
      </c>
      <c r="C473" s="15"/>
      <c r="D473" s="21"/>
      <c r="E473" s="60"/>
      <c r="F473" s="85"/>
      <c r="G473" s="60"/>
      <c r="H473" s="60"/>
      <c r="I473" s="60"/>
      <c r="J473" s="88"/>
      <c r="K473" s="89"/>
      <c r="L473" s="90"/>
      <c r="M473" s="10" t="b">
        <f t="shared" si="8"/>
        <v>0</v>
      </c>
    </row>
    <row r="474" spans="2:13" ht="22.5">
      <c r="B474" s="15">
        <v>462</v>
      </c>
      <c r="C474" s="15"/>
      <c r="D474" s="21"/>
      <c r="E474" s="60"/>
      <c r="F474" s="85"/>
      <c r="G474" s="60"/>
      <c r="H474" s="60"/>
      <c r="I474" s="60"/>
      <c r="J474" s="88"/>
      <c r="K474" s="89"/>
      <c r="L474" s="90"/>
      <c r="M474" s="10" t="b">
        <f t="shared" si="8"/>
        <v>0</v>
      </c>
    </row>
    <row r="475" spans="2:13" ht="22.5">
      <c r="B475" s="15">
        <v>463</v>
      </c>
      <c r="C475" s="15"/>
      <c r="D475" s="21"/>
      <c r="E475" s="60"/>
      <c r="F475" s="85"/>
      <c r="G475" s="60"/>
      <c r="H475" s="60"/>
      <c r="I475" s="60"/>
      <c r="J475" s="88"/>
      <c r="K475" s="89"/>
      <c r="L475" s="90"/>
      <c r="M475" s="10" t="b">
        <f t="shared" si="8"/>
        <v>0</v>
      </c>
    </row>
    <row r="476" spans="2:13" ht="22.5">
      <c r="B476" s="15">
        <v>464</v>
      </c>
      <c r="C476" s="15"/>
      <c r="D476" s="21"/>
      <c r="E476" s="60"/>
      <c r="F476" s="85"/>
      <c r="G476" s="60"/>
      <c r="H476" s="60"/>
      <c r="I476" s="60"/>
      <c r="J476" s="88"/>
      <c r="K476" s="89"/>
      <c r="L476" s="90"/>
      <c r="M476" s="10" t="b">
        <f t="shared" si="8"/>
        <v>0</v>
      </c>
    </row>
    <row r="477" spans="2:13" ht="22.5">
      <c r="B477" s="15">
        <v>465</v>
      </c>
      <c r="C477" s="15"/>
      <c r="D477" s="21"/>
      <c r="E477" s="60"/>
      <c r="F477" s="85"/>
      <c r="G477" s="60"/>
      <c r="H477" s="60"/>
      <c r="I477" s="60"/>
      <c r="J477" s="88"/>
      <c r="K477" s="89"/>
      <c r="L477" s="90"/>
      <c r="M477" s="10" t="b">
        <f t="shared" si="8"/>
        <v>0</v>
      </c>
    </row>
    <row r="478" spans="2:13" ht="22.5">
      <c r="B478" s="15">
        <v>466</v>
      </c>
      <c r="C478" s="15"/>
      <c r="D478" s="21"/>
      <c r="E478" s="60"/>
      <c r="F478" s="85"/>
      <c r="G478" s="60"/>
      <c r="H478" s="60"/>
      <c r="I478" s="60"/>
      <c r="J478" s="88"/>
      <c r="K478" s="89"/>
      <c r="L478" s="90"/>
      <c r="M478" s="10" t="b">
        <f t="shared" si="8"/>
        <v>0</v>
      </c>
    </row>
    <row r="479" spans="2:13" ht="22.5">
      <c r="B479" s="15">
        <v>467</v>
      </c>
      <c r="C479" s="15"/>
      <c r="D479" s="21"/>
      <c r="E479" s="60"/>
      <c r="F479" s="85"/>
      <c r="G479" s="60"/>
      <c r="H479" s="60"/>
      <c r="I479" s="60"/>
      <c r="J479" s="88"/>
      <c r="K479" s="89"/>
      <c r="L479" s="90"/>
      <c r="M479" s="10" t="b">
        <f t="shared" si="8"/>
        <v>0</v>
      </c>
    </row>
    <row r="480" spans="2:13" ht="22.5">
      <c r="B480" s="15">
        <v>468</v>
      </c>
      <c r="C480" s="15"/>
      <c r="D480" s="21"/>
      <c r="E480" s="60"/>
      <c r="F480" s="85"/>
      <c r="G480" s="60"/>
      <c r="H480" s="60"/>
      <c r="I480" s="60"/>
      <c r="J480" s="88"/>
      <c r="K480" s="89"/>
      <c r="L480" s="90"/>
      <c r="M480" s="10" t="b">
        <f t="shared" si="8"/>
        <v>0</v>
      </c>
    </row>
    <row r="481" spans="2:13" ht="22.5">
      <c r="B481" s="15">
        <v>469</v>
      </c>
      <c r="C481" s="15"/>
      <c r="D481" s="21"/>
      <c r="E481" s="60"/>
      <c r="F481" s="85"/>
      <c r="G481" s="60"/>
      <c r="H481" s="60"/>
      <c r="I481" s="60"/>
      <c r="J481" s="88"/>
      <c r="K481" s="89"/>
      <c r="L481" s="90"/>
      <c r="M481" s="10" t="b">
        <f t="shared" si="8"/>
        <v>0</v>
      </c>
    </row>
    <row r="482" spans="2:13" ht="22.5">
      <c r="B482" s="15">
        <v>470</v>
      </c>
      <c r="C482" s="15"/>
      <c r="D482" s="21"/>
      <c r="E482" s="60"/>
      <c r="F482" s="85"/>
      <c r="G482" s="60"/>
      <c r="H482" s="60"/>
      <c r="I482" s="60"/>
      <c r="J482" s="88"/>
      <c r="K482" s="89"/>
      <c r="L482" s="90"/>
      <c r="M482" s="10" t="b">
        <f t="shared" si="8"/>
        <v>0</v>
      </c>
    </row>
    <row r="483" spans="2:13" ht="22.5">
      <c r="B483" s="15">
        <v>471</v>
      </c>
      <c r="C483" s="15"/>
      <c r="D483" s="21"/>
      <c r="E483" s="60"/>
      <c r="F483" s="85"/>
      <c r="G483" s="60"/>
      <c r="H483" s="60"/>
      <c r="I483" s="60"/>
      <c r="J483" s="88"/>
      <c r="K483" s="89"/>
      <c r="L483" s="90"/>
      <c r="M483" s="10" t="b">
        <f t="shared" si="8"/>
        <v>0</v>
      </c>
    </row>
    <row r="484" spans="2:13" ht="22.5">
      <c r="B484" s="15">
        <v>472</v>
      </c>
      <c r="C484" s="15"/>
      <c r="D484" s="21"/>
      <c r="E484" s="60"/>
      <c r="F484" s="85"/>
      <c r="G484" s="60"/>
      <c r="H484" s="60"/>
      <c r="I484" s="60"/>
      <c r="J484" s="88"/>
      <c r="K484" s="89"/>
      <c r="L484" s="90"/>
      <c r="M484" s="10" t="b">
        <f t="shared" si="8"/>
        <v>0</v>
      </c>
    </row>
    <row r="485" spans="2:13" ht="22.5">
      <c r="B485" s="15">
        <v>473</v>
      </c>
      <c r="C485" s="15"/>
      <c r="D485" s="21"/>
      <c r="E485" s="60"/>
      <c r="F485" s="85"/>
      <c r="G485" s="60"/>
      <c r="H485" s="60"/>
      <c r="I485" s="60"/>
      <c r="J485" s="88"/>
      <c r="K485" s="89"/>
      <c r="L485" s="90"/>
      <c r="M485" s="10" t="b">
        <f t="shared" si="8"/>
        <v>0</v>
      </c>
    </row>
    <row r="486" spans="2:13" ht="22.5">
      <c r="B486" s="15">
        <v>474</v>
      </c>
      <c r="C486" s="15"/>
      <c r="D486" s="21"/>
      <c r="E486" s="60"/>
      <c r="F486" s="85"/>
      <c r="G486" s="60"/>
      <c r="H486" s="60"/>
      <c r="I486" s="60"/>
      <c r="J486" s="88"/>
      <c r="K486" s="89"/>
      <c r="L486" s="90"/>
      <c r="M486" s="10" t="b">
        <f t="shared" si="8"/>
        <v>0</v>
      </c>
    </row>
    <row r="487" spans="2:13" ht="22.5">
      <c r="B487" s="15">
        <v>475</v>
      </c>
      <c r="C487" s="15"/>
      <c r="D487" s="21"/>
      <c r="E487" s="60"/>
      <c r="F487" s="85"/>
      <c r="G487" s="60"/>
      <c r="H487" s="60"/>
      <c r="I487" s="60"/>
      <c r="J487" s="88"/>
      <c r="K487" s="89"/>
      <c r="L487" s="90"/>
      <c r="M487" s="10" t="b">
        <f t="shared" si="8"/>
        <v>0</v>
      </c>
    </row>
    <row r="488" spans="2:13" ht="22.5">
      <c r="B488" s="15">
        <v>476</v>
      </c>
      <c r="C488" s="15"/>
      <c r="D488" s="21"/>
      <c r="E488" s="60"/>
      <c r="F488" s="85"/>
      <c r="G488" s="60"/>
      <c r="H488" s="60"/>
      <c r="I488" s="60"/>
      <c r="J488" s="88"/>
      <c r="K488" s="89"/>
      <c r="L488" s="90"/>
      <c r="M488" s="10" t="b">
        <f t="shared" si="8"/>
        <v>0</v>
      </c>
    </row>
    <row r="489" spans="2:13" ht="22.5">
      <c r="B489" s="15">
        <v>477</v>
      </c>
      <c r="C489" s="15"/>
      <c r="D489" s="21"/>
      <c r="E489" s="60"/>
      <c r="F489" s="85"/>
      <c r="G489" s="60"/>
      <c r="H489" s="60"/>
      <c r="I489" s="60"/>
      <c r="J489" s="88"/>
      <c r="K489" s="89"/>
      <c r="L489" s="90"/>
      <c r="M489" s="10" t="b">
        <f t="shared" si="8"/>
        <v>0</v>
      </c>
    </row>
    <row r="490" spans="2:13" ht="22.5">
      <c r="B490" s="15">
        <v>478</v>
      </c>
      <c r="C490" s="15"/>
      <c r="D490" s="21"/>
      <c r="E490" s="60"/>
      <c r="F490" s="85"/>
      <c r="G490" s="60"/>
      <c r="H490" s="60"/>
      <c r="I490" s="60"/>
      <c r="J490" s="88"/>
      <c r="K490" s="89"/>
      <c r="L490" s="90"/>
      <c r="M490" s="10" t="b">
        <f t="shared" si="8"/>
        <v>0</v>
      </c>
    </row>
    <row r="491" spans="2:13" ht="22.5">
      <c r="B491" s="15">
        <v>479</v>
      </c>
      <c r="C491" s="15"/>
      <c r="D491" s="21"/>
      <c r="E491" s="60"/>
      <c r="F491" s="85"/>
      <c r="G491" s="60"/>
      <c r="H491" s="60"/>
      <c r="I491" s="60"/>
      <c r="J491" s="88"/>
      <c r="K491" s="89"/>
      <c r="L491" s="90"/>
      <c r="M491" s="10" t="b">
        <f t="shared" si="8"/>
        <v>0</v>
      </c>
    </row>
    <row r="492" spans="2:13" ht="22.5">
      <c r="B492" s="15">
        <v>480</v>
      </c>
      <c r="C492" s="15"/>
      <c r="D492" s="21"/>
      <c r="E492" s="60"/>
      <c r="F492" s="85"/>
      <c r="G492" s="60"/>
      <c r="H492" s="60"/>
      <c r="I492" s="60"/>
      <c r="J492" s="88"/>
      <c r="K492" s="89"/>
      <c r="L492" s="90"/>
      <c r="M492" s="10" t="b">
        <f t="shared" si="8"/>
        <v>0</v>
      </c>
    </row>
    <row r="493" spans="2:13" ht="22.5">
      <c r="B493" s="15">
        <v>481</v>
      </c>
      <c r="C493" s="15"/>
      <c r="D493" s="21"/>
      <c r="E493" s="60"/>
      <c r="F493" s="85"/>
      <c r="G493" s="60"/>
      <c r="H493" s="60"/>
      <c r="I493" s="60"/>
      <c r="J493" s="88"/>
      <c r="K493" s="89"/>
      <c r="L493" s="90"/>
      <c r="M493" s="10" t="b">
        <f t="shared" si="8"/>
        <v>0</v>
      </c>
    </row>
    <row r="494" spans="2:13" ht="22.5">
      <c r="B494" s="15">
        <v>482</v>
      </c>
      <c r="C494" s="15"/>
      <c r="D494" s="21"/>
      <c r="E494" s="60"/>
      <c r="F494" s="85"/>
      <c r="G494" s="60"/>
      <c r="H494" s="60"/>
      <c r="I494" s="60"/>
      <c r="J494" s="88"/>
      <c r="K494" s="89"/>
      <c r="L494" s="90"/>
      <c r="M494" s="10" t="b">
        <f t="shared" si="8"/>
        <v>0</v>
      </c>
    </row>
    <row r="495" spans="2:13" ht="22.5">
      <c r="B495" s="15">
        <v>483</v>
      </c>
      <c r="C495" s="15"/>
      <c r="D495" s="21"/>
      <c r="E495" s="60"/>
      <c r="F495" s="85"/>
      <c r="G495" s="60"/>
      <c r="H495" s="60"/>
      <c r="I495" s="60"/>
      <c r="J495" s="88"/>
      <c r="K495" s="89"/>
      <c r="L495" s="90"/>
      <c r="M495" s="10" t="b">
        <f t="shared" si="8"/>
        <v>0</v>
      </c>
    </row>
    <row r="496" spans="2:13" ht="22.5">
      <c r="B496" s="15">
        <v>484</v>
      </c>
      <c r="C496" s="15"/>
      <c r="D496" s="21"/>
      <c r="E496" s="60"/>
      <c r="F496" s="85"/>
      <c r="G496" s="60"/>
      <c r="H496" s="60"/>
      <c r="I496" s="60"/>
      <c r="J496" s="88"/>
      <c r="K496" s="89"/>
      <c r="L496" s="90"/>
      <c r="M496" s="10" t="b">
        <f t="shared" si="8"/>
        <v>0</v>
      </c>
    </row>
    <row r="497" spans="2:13" ht="22.5">
      <c r="B497" s="15">
        <v>485</v>
      </c>
      <c r="C497" s="15"/>
      <c r="D497" s="21"/>
      <c r="E497" s="60"/>
      <c r="F497" s="85"/>
      <c r="G497" s="60"/>
      <c r="H497" s="60"/>
      <c r="I497" s="60"/>
      <c r="J497" s="88"/>
      <c r="K497" s="89"/>
      <c r="L497" s="90"/>
      <c r="M497" s="10" t="b">
        <f t="shared" si="8"/>
        <v>0</v>
      </c>
    </row>
    <row r="498" spans="2:13" ht="22.5">
      <c r="B498" s="15">
        <v>486</v>
      </c>
      <c r="C498" s="15"/>
      <c r="D498" s="21"/>
      <c r="E498" s="60"/>
      <c r="F498" s="85"/>
      <c r="G498" s="60"/>
      <c r="H498" s="60"/>
      <c r="I498" s="60"/>
      <c r="J498" s="88"/>
      <c r="K498" s="89"/>
      <c r="L498" s="90"/>
      <c r="M498" s="10" t="b">
        <f t="shared" si="8"/>
        <v>0</v>
      </c>
    </row>
    <row r="499" spans="2:13" ht="22.5">
      <c r="B499" s="15">
        <v>487</v>
      </c>
      <c r="C499" s="15"/>
      <c r="D499" s="21"/>
      <c r="E499" s="60"/>
      <c r="F499" s="85"/>
      <c r="G499" s="60"/>
      <c r="H499" s="60"/>
      <c r="I499" s="60"/>
      <c r="J499" s="88"/>
      <c r="K499" s="89"/>
      <c r="L499" s="90"/>
      <c r="M499" s="10" t="b">
        <f t="shared" si="8"/>
        <v>0</v>
      </c>
    </row>
    <row r="500" spans="2:13" ht="22.5">
      <c r="B500" s="15">
        <v>488</v>
      </c>
      <c r="C500" s="15"/>
      <c r="D500" s="21"/>
      <c r="E500" s="60"/>
      <c r="F500" s="85"/>
      <c r="G500" s="60"/>
      <c r="H500" s="60"/>
      <c r="I500" s="60"/>
      <c r="J500" s="88"/>
      <c r="K500" s="89"/>
      <c r="L500" s="90"/>
      <c r="M500" s="10" t="b">
        <f t="shared" si="8"/>
        <v>0</v>
      </c>
    </row>
    <row r="501" spans="2:13" ht="22.5">
      <c r="B501" s="15">
        <v>489</v>
      </c>
      <c r="C501" s="15"/>
      <c r="D501" s="21"/>
      <c r="E501" s="60"/>
      <c r="F501" s="85"/>
      <c r="G501" s="60"/>
      <c r="H501" s="60"/>
      <c r="I501" s="60"/>
      <c r="J501" s="88"/>
      <c r="K501" s="89"/>
      <c r="L501" s="90"/>
      <c r="M501" s="10" t="b">
        <f t="shared" si="8"/>
        <v>0</v>
      </c>
    </row>
    <row r="502" spans="2:13" ht="22.5">
      <c r="B502" s="15">
        <v>490</v>
      </c>
      <c r="C502" s="15"/>
      <c r="D502" s="21"/>
      <c r="E502" s="60"/>
      <c r="F502" s="85"/>
      <c r="G502" s="60"/>
      <c r="H502" s="60"/>
      <c r="I502" s="60"/>
      <c r="J502" s="88"/>
      <c r="K502" s="89"/>
      <c r="L502" s="90"/>
      <c r="M502" s="10" t="b">
        <f t="shared" si="8"/>
        <v>0</v>
      </c>
    </row>
    <row r="503" spans="2:13" ht="22.5">
      <c r="B503" s="15">
        <v>491</v>
      </c>
      <c r="C503" s="15"/>
      <c r="D503" s="21"/>
      <c r="E503" s="60"/>
      <c r="F503" s="85"/>
      <c r="G503" s="60"/>
      <c r="H503" s="60"/>
      <c r="I503" s="60"/>
      <c r="J503" s="88"/>
      <c r="K503" s="89"/>
      <c r="L503" s="90"/>
      <c r="M503" s="10" t="b">
        <f t="shared" si="8"/>
        <v>0</v>
      </c>
    </row>
    <row r="504" spans="2:13" ht="22.5">
      <c r="B504" s="15">
        <v>492</v>
      </c>
      <c r="C504" s="15"/>
      <c r="D504" s="21"/>
      <c r="E504" s="60"/>
      <c r="F504" s="85"/>
      <c r="G504" s="60"/>
      <c r="H504" s="60"/>
      <c r="I504" s="60"/>
      <c r="J504" s="88"/>
      <c r="K504" s="89"/>
      <c r="L504" s="90"/>
      <c r="M504" s="10" t="b">
        <f t="shared" si="8"/>
        <v>0</v>
      </c>
    </row>
    <row r="505" spans="2:13" ht="22.5">
      <c r="B505" s="15">
        <v>493</v>
      </c>
      <c r="C505" s="15"/>
      <c r="D505" s="21"/>
      <c r="E505" s="60"/>
      <c r="F505" s="85"/>
      <c r="G505" s="60"/>
      <c r="H505" s="60"/>
      <c r="I505" s="60"/>
      <c r="J505" s="88"/>
      <c r="K505" s="89"/>
      <c r="L505" s="90"/>
      <c r="M505" s="10" t="b">
        <f t="shared" si="8"/>
        <v>0</v>
      </c>
    </row>
    <row r="506" spans="2:13" ht="22.5">
      <c r="B506" s="15">
        <v>494</v>
      </c>
      <c r="C506" s="15"/>
      <c r="D506" s="21"/>
      <c r="E506" s="60"/>
      <c r="F506" s="85"/>
      <c r="G506" s="60"/>
      <c r="H506" s="60"/>
      <c r="I506" s="60"/>
      <c r="J506" s="88"/>
      <c r="K506" s="89"/>
      <c r="L506" s="90"/>
      <c r="M506" s="10" t="b">
        <f t="shared" si="8"/>
        <v>0</v>
      </c>
    </row>
    <row r="507" spans="2:13" ht="22.5">
      <c r="B507" s="15">
        <v>495</v>
      </c>
      <c r="C507" s="15"/>
      <c r="D507" s="21"/>
      <c r="E507" s="60"/>
      <c r="F507" s="85"/>
      <c r="G507" s="60"/>
      <c r="H507" s="60"/>
      <c r="I507" s="60"/>
      <c r="J507" s="88"/>
      <c r="K507" s="89"/>
      <c r="L507" s="90"/>
      <c r="M507" s="10" t="b">
        <f t="shared" si="8"/>
        <v>0</v>
      </c>
    </row>
    <row r="508" spans="2:13" ht="22.5">
      <c r="B508" s="15">
        <v>496</v>
      </c>
      <c r="C508" s="15"/>
      <c r="D508" s="21"/>
      <c r="E508" s="60"/>
      <c r="F508" s="85"/>
      <c r="G508" s="60"/>
      <c r="H508" s="60"/>
      <c r="I508" s="60"/>
      <c r="J508" s="88"/>
      <c r="K508" s="89"/>
      <c r="L508" s="90"/>
      <c r="M508" s="10" t="b">
        <f t="shared" si="8"/>
        <v>0</v>
      </c>
    </row>
    <row r="509" spans="2:13" ht="22.5">
      <c r="B509" s="15">
        <v>497</v>
      </c>
      <c r="C509" s="15"/>
      <c r="D509" s="21"/>
      <c r="E509" s="60"/>
      <c r="F509" s="85"/>
      <c r="G509" s="60"/>
      <c r="H509" s="60"/>
      <c r="I509" s="60"/>
      <c r="J509" s="88"/>
      <c r="K509" s="89"/>
      <c r="L509" s="90"/>
      <c r="M509" s="10" t="b">
        <f t="shared" si="8"/>
        <v>0</v>
      </c>
    </row>
    <row r="510" spans="2:13" ht="22.5">
      <c r="B510" s="15">
        <v>498</v>
      </c>
      <c r="C510" s="15"/>
      <c r="D510" s="21"/>
      <c r="E510" s="60"/>
      <c r="F510" s="85"/>
      <c r="G510" s="60"/>
      <c r="H510" s="60"/>
      <c r="I510" s="60"/>
      <c r="J510" s="88"/>
      <c r="K510" s="89"/>
      <c r="L510" s="90"/>
      <c r="M510" s="10" t="b">
        <f t="shared" si="8"/>
        <v>0</v>
      </c>
    </row>
    <row r="511" spans="2:13" ht="22.5">
      <c r="B511" s="15">
        <v>499</v>
      </c>
      <c r="C511" s="15"/>
      <c r="D511" s="21"/>
      <c r="E511" s="60"/>
      <c r="F511" s="85"/>
      <c r="G511" s="60"/>
      <c r="H511" s="60"/>
      <c r="I511" s="60"/>
      <c r="J511" s="88"/>
      <c r="K511" s="89"/>
      <c r="L511" s="90"/>
      <c r="M511" s="10" t="b">
        <f t="shared" si="8"/>
        <v>0</v>
      </c>
    </row>
    <row r="512" spans="2:13" ht="23.25" thickBot="1">
      <c r="B512" s="16">
        <v>500</v>
      </c>
      <c r="C512" s="16"/>
      <c r="D512" s="22"/>
      <c r="E512" s="62"/>
      <c r="F512" s="86"/>
      <c r="G512" s="62"/>
      <c r="H512" s="62"/>
      <c r="I512" s="62"/>
      <c r="J512" s="91"/>
      <c r="K512" s="92"/>
      <c r="L512" s="93"/>
      <c r="M512" s="10" t="b">
        <f t="shared" si="8"/>
        <v>0</v>
      </c>
    </row>
  </sheetData>
  <sheetProtection algorithmName="SHA-512" hashValue="pYGeAbipnYgjVuoaENgOBOxHzgd7aKXZFHFxYhMC7iWn8kub0uKot7f5AC5rRz5W/y4bFqzoPk6Whjn8gIXKwg==" saltValue="TTBFoZOeQNAHHdZeByz0KA==" spinCount="100000" sheet="1" objects="1" scenarios="1" selectLockedCells="1"/>
  <mergeCells count="5">
    <mergeCell ref="K8:L8"/>
    <mergeCell ref="E7:G7"/>
    <mergeCell ref="J7:L7"/>
    <mergeCell ref="E2:Q2"/>
    <mergeCell ref="E4:Q4"/>
  </mergeCells>
  <phoneticPr fontId="1"/>
  <conditionalFormatting sqref="G13:I512">
    <cfRule type="expression" dxfId="6" priority="6" stopIfTrue="1">
      <formula>ISNUMBER($D13)</formula>
    </cfRule>
  </conditionalFormatting>
  <conditionalFormatting sqref="J13:J512">
    <cfRule type="expression" dxfId="5" priority="5">
      <formula>$D13&lt;&gt;1</formula>
    </cfRule>
    <cfRule type="expression" dxfId="4" priority="9">
      <formula>AND($D13=1,$J13="")</formula>
    </cfRule>
  </conditionalFormatting>
  <conditionalFormatting sqref="K13:K512">
    <cfRule type="expression" dxfId="3" priority="8">
      <formula>AND(($D13=2),($K13=""))</formula>
    </cfRule>
  </conditionalFormatting>
  <conditionalFormatting sqref="K13:L512">
    <cfRule type="expression" dxfId="2" priority="2">
      <formula>$D13&lt;&gt;2</formula>
    </cfRule>
  </conditionalFormatting>
  <conditionalFormatting sqref="L13:L512">
    <cfRule type="expression" dxfId="1" priority="3">
      <formula>AND(($K13="あり"),($L13=""))</formula>
    </cfRule>
    <cfRule type="expression" dxfId="0" priority="4">
      <formula>$K13="なし"</formula>
    </cfRule>
  </conditionalFormatting>
  <dataValidations count="4">
    <dataValidation imeMode="disabled" allowBlank="1" showInputMessage="1" showErrorMessage="1" sqref="L10:L512 E13:G512" xr:uid="{2BB45313-E6C9-47A0-BC3C-2E5BC02C706B}"/>
    <dataValidation type="list" allowBlank="1" showInputMessage="1" showErrorMessage="1" sqref="K10:K512" xr:uid="{D55FFD5D-F820-4F2A-B4BB-4B1AEE663831}">
      <formula1>"あり,なし"</formula1>
    </dataValidation>
    <dataValidation type="list" allowBlank="1" showInputMessage="1" showErrorMessage="1" errorTitle="エラー" error="1,2,3のいずれかを選択ください" sqref="D10:D512" xr:uid="{3DA8F23E-2063-4561-ADB8-2EE7B166CF0E}">
      <formula1>"1,2,3"</formula1>
    </dataValidation>
    <dataValidation type="list" allowBlank="1" showInputMessage="1" showErrorMessage="1" sqref="H10:J512" xr:uid="{CF1BB5F0-B940-4BE2-A131-62EFD2D0AE96}">
      <formula1>"希望する,希望しない"</formula1>
    </dataValidation>
  </dataValidations>
  <hyperlinks>
    <hyperlink ref="E5" r:id="rId1" xr:uid="{60027F58-1FF1-46CF-AAF3-49116EC95213}"/>
  </hyperlinks>
  <pageMargins left="0.7" right="0.7" top="0.75" bottom="0.75" header="0.3" footer="0.3"/>
  <pageSetup paperSize="9" scale="72" orientation="portrait" r:id="rId2"/>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19445-CE14-49D3-AE67-334C915A61A6}">
  <dimension ref="A1:Y513"/>
  <sheetViews>
    <sheetView topLeftCell="M1" zoomScale="85" zoomScaleNormal="85" workbookViewId="0">
      <selection activeCell="C9" sqref="C9"/>
    </sheetView>
  </sheetViews>
  <sheetFormatPr defaultRowHeight="13.5"/>
  <cols>
    <col min="1" max="1" width="19.5" customWidth="1"/>
    <col min="2" max="2" width="20.125" customWidth="1"/>
    <col min="3" max="3" width="27.5" customWidth="1"/>
    <col min="4" max="4" width="23.625" bestFit="1" customWidth="1"/>
    <col min="5" max="5" width="24" customWidth="1"/>
    <col min="6" max="6" width="19.75" customWidth="1"/>
    <col min="7" max="7" width="24.5" bestFit="1" customWidth="1"/>
    <col min="8" max="8" width="28.25" bestFit="1" customWidth="1"/>
    <col min="9" max="9" width="30" bestFit="1" customWidth="1"/>
    <col min="10" max="10" width="30.125" customWidth="1"/>
    <col min="11" max="11" width="34.5" bestFit="1" customWidth="1"/>
    <col min="12" max="12" width="30.25" bestFit="1" customWidth="1"/>
    <col min="13" max="13" width="32.25" bestFit="1" customWidth="1"/>
    <col min="14" max="14" width="29.625" customWidth="1"/>
    <col min="15" max="15" width="29.875" bestFit="1" customWidth="1"/>
    <col min="16" max="21" width="16.5" customWidth="1"/>
    <col min="22" max="22" width="29.5" bestFit="1" customWidth="1"/>
    <col min="24" max="24" width="31.625" bestFit="1" customWidth="1"/>
  </cols>
  <sheetData>
    <row r="1" spans="1:25">
      <c r="X1" t="s">
        <v>200</v>
      </c>
      <c r="Y1" s="118" t="str">
        <f>DBCS(SUBSTITUTE(SUBSTITUTE(TRIM(contractCustomerNameKana)," ","　"),CHAR(10),"　"))</f>
        <v/>
      </c>
    </row>
    <row r="2" spans="1:25">
      <c r="A2" t="s">
        <v>25</v>
      </c>
      <c r="B2" t="s">
        <v>109</v>
      </c>
      <c r="D2" t="s">
        <v>26</v>
      </c>
      <c r="X2" t="s">
        <v>201</v>
      </c>
      <c r="Y2" s="118" t="str">
        <f>DBCS(SUBSTITUTE(SUBSTITUTE(TRIM(billingStationDeptNameKana)," ","　"),CHAR(10),"　"))</f>
        <v/>
      </c>
    </row>
    <row r="3" spans="1:25">
      <c r="A3" t="s">
        <v>27</v>
      </c>
      <c r="B3" t="s">
        <v>97</v>
      </c>
      <c r="D3" t="s">
        <v>28</v>
      </c>
      <c r="X3" t="s">
        <v>202</v>
      </c>
      <c r="Y3" s="118" t="str">
        <f>DBCS(SUBSTITUTE(SUBSTITUTE(TRIM(billingStationPersonKana)," ","　"),CHAR(10),"　"))</f>
        <v/>
      </c>
    </row>
    <row r="4" spans="1:25">
      <c r="A4" s="8">
        <f>formVersion</f>
        <v>2.2999999999999998</v>
      </c>
      <c r="B4" s="8" t="s">
        <v>98</v>
      </c>
      <c r="D4" t="s">
        <v>29</v>
      </c>
    </row>
    <row r="6" spans="1:25" s="7" customFormat="1" ht="73.900000000000006" customHeight="1">
      <c r="B6" s="7" t="s">
        <v>167</v>
      </c>
      <c r="C6" s="7" t="s">
        <v>168</v>
      </c>
      <c r="D6" s="7" t="s">
        <v>169</v>
      </c>
      <c r="E6" s="7" t="s">
        <v>30</v>
      </c>
      <c r="F6" s="7" t="s">
        <v>170</v>
      </c>
      <c r="G6" s="7" t="s">
        <v>171</v>
      </c>
      <c r="H6" s="7" t="s">
        <v>172</v>
      </c>
      <c r="I6" s="7" t="s">
        <v>173</v>
      </c>
      <c r="J6" s="7" t="s">
        <v>174</v>
      </c>
      <c r="K6" s="7" t="s">
        <v>175</v>
      </c>
      <c r="L6" s="7" t="s">
        <v>176</v>
      </c>
      <c r="M6" s="7" t="s">
        <v>178</v>
      </c>
      <c r="N6" s="7" t="s">
        <v>177</v>
      </c>
      <c r="O6" s="7" t="s">
        <v>179</v>
      </c>
      <c r="P6" s="109" t="s">
        <v>180</v>
      </c>
      <c r="Q6" s="109" t="s">
        <v>181</v>
      </c>
      <c r="R6" s="7" t="s">
        <v>166</v>
      </c>
      <c r="S6" s="108" t="s">
        <v>182</v>
      </c>
      <c r="T6" s="7" t="s">
        <v>183</v>
      </c>
      <c r="U6" s="7" t="s">
        <v>183</v>
      </c>
      <c r="V6" s="7" t="s">
        <v>183</v>
      </c>
      <c r="W6" s="7" t="s">
        <v>183</v>
      </c>
      <c r="X6" s="7" t="s">
        <v>183</v>
      </c>
      <c r="Y6" s="7" t="s">
        <v>198</v>
      </c>
    </row>
    <row r="7" spans="1:25" s="3" customFormat="1" ht="33" customHeight="1">
      <c r="A7" t="s">
        <v>31</v>
      </c>
      <c r="B7" s="2" t="s">
        <v>32</v>
      </c>
      <c r="C7" s="1" t="s">
        <v>33</v>
      </c>
      <c r="D7" s="2" t="s">
        <v>34</v>
      </c>
      <c r="E7" s="2" t="s">
        <v>35</v>
      </c>
      <c r="F7" s="1" t="s">
        <v>36</v>
      </c>
      <c r="G7" s="1" t="s">
        <v>37</v>
      </c>
      <c r="H7" s="1" t="s">
        <v>81</v>
      </c>
      <c r="I7" s="2" t="s">
        <v>38</v>
      </c>
      <c r="J7" s="1" t="s">
        <v>39</v>
      </c>
      <c r="K7" s="2" t="s">
        <v>40</v>
      </c>
      <c r="L7" s="1" t="s">
        <v>41</v>
      </c>
      <c r="M7" s="2" t="s">
        <v>42</v>
      </c>
      <c r="N7" s="1" t="s">
        <v>43</v>
      </c>
      <c r="O7" s="2" t="s">
        <v>44</v>
      </c>
      <c r="P7" s="105" t="s">
        <v>161</v>
      </c>
      <c r="Q7" s="105" t="s">
        <v>159</v>
      </c>
      <c r="R7" s="2" t="s">
        <v>45</v>
      </c>
      <c r="S7" s="106" t="s">
        <v>162</v>
      </c>
      <c r="T7" s="2" t="s">
        <v>46</v>
      </c>
      <c r="U7" s="2" t="s">
        <v>47</v>
      </c>
      <c r="V7" s="2" t="s">
        <v>48</v>
      </c>
      <c r="W7" s="2" t="s">
        <v>49</v>
      </c>
      <c r="X7" s="2" t="s">
        <v>50</v>
      </c>
    </row>
    <row r="8" spans="1:25" ht="26.65" customHeight="1">
      <c r="A8" s="4" t="s">
        <v>51</v>
      </c>
      <c r="B8" s="5" t="s">
        <v>52</v>
      </c>
      <c r="C8" s="4" t="s">
        <v>53</v>
      </c>
      <c r="D8" s="5" t="s">
        <v>54</v>
      </c>
      <c r="E8" s="5" t="s">
        <v>55</v>
      </c>
      <c r="F8" s="4" t="s">
        <v>56</v>
      </c>
      <c r="G8" s="4" t="s">
        <v>83</v>
      </c>
      <c r="H8" s="4" t="s">
        <v>82</v>
      </c>
      <c r="I8" s="5" t="s">
        <v>57</v>
      </c>
      <c r="J8" s="4" t="s">
        <v>58</v>
      </c>
      <c r="K8" s="5" t="s">
        <v>59</v>
      </c>
      <c r="L8" s="4" t="s">
        <v>60</v>
      </c>
      <c r="M8" s="5" t="s">
        <v>61</v>
      </c>
      <c r="N8" s="4" t="s">
        <v>62</v>
      </c>
      <c r="O8" s="6" t="s">
        <v>63</v>
      </c>
      <c r="P8" s="6" t="s">
        <v>64</v>
      </c>
      <c r="Q8" s="6" t="s">
        <v>160</v>
      </c>
      <c r="R8" s="4" t="s">
        <v>65</v>
      </c>
      <c r="S8" s="4" t="s">
        <v>137</v>
      </c>
      <c r="T8" s="5" t="s">
        <v>66</v>
      </c>
      <c r="U8" s="4" t="s">
        <v>67</v>
      </c>
      <c r="V8" s="5" t="s">
        <v>68</v>
      </c>
      <c r="W8" s="4" t="s">
        <v>69</v>
      </c>
      <c r="X8" s="4" t="s">
        <v>70</v>
      </c>
      <c r="Y8" s="4" t="s">
        <v>199</v>
      </c>
    </row>
    <row r="9" spans="1:25" s="7" customFormat="1" ht="132.6" customHeight="1">
      <c r="A9" s="101" t="s">
        <v>71</v>
      </c>
      <c r="B9" s="102" t="str">
        <f>ASC(IF(applicationArrivalDate="","",applicationArrivalDate))</f>
        <v/>
      </c>
      <c r="C9" s="101" t="str" cm="1">
        <f t="array" aca="1" ref="C9" ca="1">IF(SUMPRODUCT(--ISNUMBER(FIND(MID(Y1, ROW(INDIRECT("1:" &amp; LEN(Y1))),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～")))=LEN(Y1), Y1, 1/0)</f>
        <v/>
      </c>
      <c r="D9" s="103" t="str">
        <f>DBCS(SUBSTITUTE(SUBSTITUTE(TRIM(contractCustomerName)," ","　"),CHAR(10),"　"))</f>
        <v/>
      </c>
      <c r="E9" s="103">
        <v>0</v>
      </c>
      <c r="F9" s="101" t="str">
        <f>ASC(SUBSTITUTE(contractCustomerPostalNumber,"-",""))</f>
        <v/>
      </c>
      <c r="G9" s="101" t="str">
        <f>DBCS(SUBSTITUTE(SUBSTITUTE(TRIM(contractCustomerAddress)," ","　"),CHAR(10),"　"))</f>
        <v/>
      </c>
      <c r="H9" s="101" t="str">
        <f>DBCS(SUBSTITUTE(SUBSTITUTE(TRIM(contractCustomerAddress2)," ","　"),CHAR(10),"　"))</f>
        <v/>
      </c>
      <c r="I9" s="103" t="str">
        <f>ASC(SUBSTITUTE(billingStationPhoneNumber,"-",""))</f>
        <v/>
      </c>
      <c r="J9" s="101" t="str" cm="1">
        <f t="array" aca="1" ref="J9" ca="1">IF(SUMPRODUCT(--ISNUMBER(FIND(MID(Y2, ROW(INDIRECT("1:" &amp; LEN(Y2))),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～")))=LEN(Y2), Y2, 1/0)</f>
        <v/>
      </c>
      <c r="K9" s="103" t="str">
        <f>DBCS(SUBSTITUTE(SUBSTITUTE(TRIM(billingStationDeptName)," ","　"),CHAR(10),"　"))</f>
        <v/>
      </c>
      <c r="L9" s="101" t="str" cm="1">
        <f t="array" aca="1" ref="L9" ca="1">IF(SUMPRODUCT(--ISNUMBER(FIND(MID(Y3, ROW(INDIRECT("1:" &amp; LEN(Y3))),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～")))=LEN(Y3), Y3, 1/0)</f>
        <v/>
      </c>
      <c r="M9" s="103" t="str">
        <f>DBCS(SUBSTITUTE(SUBSTITUTE(TRIM(billingStationPerson)," ","　"),CHAR(10),"　"))</f>
        <v/>
      </c>
      <c r="N9" s="101" t="str">
        <f>ASC(CLEAN(billingStationCustomerMailAddress))</f>
        <v/>
      </c>
      <c r="O9" s="103" t="str">
        <f>ASC(billingStationAuthKey)</f>
        <v/>
      </c>
      <c r="P9" s="103" t="str">
        <f>IF(billingStationUseDataByNumber="","csv",billingStationUseDataByNumber)</f>
        <v>csv</v>
      </c>
      <c r="Q9" s="103"/>
      <c r="R9" s="101"/>
      <c r="S9" s="107" t="s">
        <v>163</v>
      </c>
      <c r="T9" s="103" t="str">
        <f>comment&amp;""</f>
        <v/>
      </c>
      <c r="U9" s="101" t="str">
        <f>salesChannelDeptName&amp;""</f>
        <v/>
      </c>
      <c r="V9" s="103" t="str">
        <f>salesChannelPersonName&amp;""</f>
        <v/>
      </c>
      <c r="W9" s="101" t="str">
        <f>salesChannelPhoneNumber&amp;""</f>
        <v/>
      </c>
      <c r="X9" s="104" t="str">
        <f>salesChannelMailAddress&amp;""</f>
        <v/>
      </c>
      <c r="Y9" s="104" cm="1">
        <f t="array" aca="1" ref="Y9" ca="1">SUMPRODUCT(ISERROR(新規申込書[[#This Row],[ファイル名]:[販売担当者　メールアドレス]])*1)</f>
        <v>0</v>
      </c>
    </row>
    <row r="12" spans="1:25">
      <c r="A12" t="s">
        <v>101</v>
      </c>
      <c r="B12" t="s">
        <v>86</v>
      </c>
      <c r="C12" t="s">
        <v>106</v>
      </c>
      <c r="D12" t="s">
        <v>111</v>
      </c>
      <c r="E12" t="s">
        <v>164</v>
      </c>
      <c r="F12" t="s">
        <v>110</v>
      </c>
      <c r="G12" t="s">
        <v>86</v>
      </c>
      <c r="H12" t="s">
        <v>86</v>
      </c>
      <c r="L12" t="s">
        <v>184</v>
      </c>
    </row>
    <row r="13" spans="1:25">
      <c r="A13" t="s">
        <v>24</v>
      </c>
      <c r="B13" t="s">
        <v>103</v>
      </c>
      <c r="C13" t="s">
        <v>102</v>
      </c>
      <c r="D13" t="s">
        <v>104</v>
      </c>
      <c r="E13" t="s">
        <v>112</v>
      </c>
      <c r="F13" t="s">
        <v>105</v>
      </c>
      <c r="G13" t="s">
        <v>107</v>
      </c>
      <c r="H13" t="s">
        <v>108</v>
      </c>
      <c r="I13" t="s">
        <v>72</v>
      </c>
      <c r="J13" t="s">
        <v>91</v>
      </c>
      <c r="K13" t="s">
        <v>74</v>
      </c>
      <c r="L13" t="s">
        <v>73</v>
      </c>
    </row>
    <row r="14" spans="1:25">
      <c r="A14">
        <v>1</v>
      </c>
      <c r="C14" t="str">
        <f>shubetsu001&amp;""</f>
        <v/>
      </c>
      <c r="D14" s="58" t="str">
        <f>billid001&amp;""</f>
        <v/>
      </c>
      <c r="E14" s="58" t="str">
        <f>UPPER(SUBSTITUTE(番明[[#This Row],[ご請求番号]],"-",""))</f>
        <v/>
      </c>
      <c r="F14" s="58" t="str">
        <f>keiyakuid001&amp;""</f>
        <v/>
      </c>
      <c r="I14" t="str">
        <f>IF(accelikkatsu001="","希望しない",accelikkatsu001)</f>
        <v>希望しない</v>
      </c>
      <c r="J14" t="str">
        <f>IF(belugabunyn001="","なし",belugabunyn001)</f>
        <v>なし</v>
      </c>
      <c r="K14" s="59" t="str">
        <f>belugabun001&amp;""</f>
        <v/>
      </c>
      <c r="L14" t="b">
        <f>shutoku001</f>
        <v>0</v>
      </c>
    </row>
    <row r="15" spans="1:25">
      <c r="A15">
        <v>2</v>
      </c>
      <c r="C15" t="str">
        <f>shubetsu002&amp;""</f>
        <v/>
      </c>
      <c r="D15" s="58" t="str">
        <f>billid002&amp;""</f>
        <v/>
      </c>
      <c r="E15" s="58" t="str">
        <f>UPPER(SUBSTITUTE(番明[[#This Row],[ご請求番号]],"-",""))</f>
        <v/>
      </c>
      <c r="F15" s="58" t="str">
        <f>keiyakuid002&amp;""</f>
        <v/>
      </c>
      <c r="I15" t="str">
        <f>IF(accelikkatsu002="","希望しない",accelikkatsu002)</f>
        <v>希望しない</v>
      </c>
      <c r="J15" t="str">
        <f>IF(belugabunyn002="","なし",belugabunyn002)</f>
        <v>なし</v>
      </c>
      <c r="K15" s="59" t="str">
        <f>belugabun002&amp;""</f>
        <v/>
      </c>
      <c r="L15" t="b">
        <f>shutoku002</f>
        <v>0</v>
      </c>
    </row>
    <row r="16" spans="1:25">
      <c r="A16">
        <v>3</v>
      </c>
      <c r="C16" t="str">
        <f>shubetsu003&amp;""</f>
        <v/>
      </c>
      <c r="D16" s="58" t="str">
        <f>billid003&amp;""</f>
        <v/>
      </c>
      <c r="E16" s="58" t="str">
        <f>UPPER(SUBSTITUTE(番明[[#This Row],[ご請求番号]],"-",""))</f>
        <v/>
      </c>
      <c r="F16" s="58" t="str">
        <f>keiyakuid003&amp;""</f>
        <v/>
      </c>
      <c r="I16" t="str">
        <f>IF(accelikkatsu003="","希望しない",accelikkatsu003)</f>
        <v>希望しない</v>
      </c>
      <c r="J16" t="str">
        <f>IF(belugabunyn003="","なし",belugabunyn003)</f>
        <v>なし</v>
      </c>
      <c r="K16" s="59" t="str">
        <f>belugabun003&amp;""</f>
        <v/>
      </c>
      <c r="L16" t="b">
        <f>shutoku003</f>
        <v>0</v>
      </c>
    </row>
    <row r="17" spans="1:12">
      <c r="A17">
        <v>4</v>
      </c>
      <c r="C17" t="str">
        <f>shubetsu004&amp;""</f>
        <v/>
      </c>
      <c r="D17" s="58" t="str">
        <f>billid004&amp;""</f>
        <v/>
      </c>
      <c r="E17" s="58" t="str">
        <f>UPPER(SUBSTITUTE(番明[[#This Row],[ご請求番号]],"-",""))</f>
        <v/>
      </c>
      <c r="F17" s="58" t="str">
        <f>keiyakuid004&amp;""</f>
        <v/>
      </c>
      <c r="I17" t="str">
        <f>IF(accelikkatsu004="","希望しない",accelikkatsu004)</f>
        <v>希望しない</v>
      </c>
      <c r="J17" t="str">
        <f>IF(belugabunyn004="","なし",belugabunyn004)</f>
        <v>なし</v>
      </c>
      <c r="K17" s="59" t="str">
        <f>belugabun004&amp;""</f>
        <v/>
      </c>
      <c r="L17" t="b">
        <f>shutoku004</f>
        <v>0</v>
      </c>
    </row>
    <row r="18" spans="1:12">
      <c r="A18">
        <v>5</v>
      </c>
      <c r="C18" t="str">
        <f>shubetsu005&amp;""</f>
        <v/>
      </c>
      <c r="D18" s="58" t="str">
        <f>billid005&amp;""</f>
        <v/>
      </c>
      <c r="E18" s="58" t="str">
        <f>UPPER(SUBSTITUTE(番明[[#This Row],[ご請求番号]],"-",""))</f>
        <v/>
      </c>
      <c r="F18" s="58" t="str">
        <f>keiyakuid005&amp;""</f>
        <v/>
      </c>
      <c r="I18" t="str">
        <f>IF(accelikkatsu005="","希望しない",accelikkatsu005)</f>
        <v>希望しない</v>
      </c>
      <c r="J18" t="str">
        <f>IF(belugabunyn005="","なし",belugabunyn005)</f>
        <v>なし</v>
      </c>
      <c r="K18" s="59" t="str">
        <f>belugabun005&amp;""</f>
        <v/>
      </c>
      <c r="L18" t="b">
        <f>shutoku005</f>
        <v>0</v>
      </c>
    </row>
    <row r="19" spans="1:12">
      <c r="A19">
        <v>6</v>
      </c>
      <c r="C19" t="str">
        <f>shubetsu006&amp;""</f>
        <v/>
      </c>
      <c r="D19" s="58" t="str">
        <f>billid006&amp;""</f>
        <v/>
      </c>
      <c r="E19" s="58" t="str">
        <f>UPPER(SUBSTITUTE(番明[[#This Row],[ご請求番号]],"-",""))</f>
        <v/>
      </c>
      <c r="F19" s="58" t="str">
        <f>keiyakuid006&amp;""</f>
        <v/>
      </c>
      <c r="I19" t="str">
        <f>IF(accelikkatsu006="","希望しない",accelikkatsu006)</f>
        <v>希望しない</v>
      </c>
      <c r="J19" t="str">
        <f>IF(belugabunyn006="","なし",belugabunyn006)</f>
        <v>なし</v>
      </c>
      <c r="K19" s="59" t="str">
        <f>belugabun006&amp;""</f>
        <v/>
      </c>
      <c r="L19" t="b">
        <f>shutoku006</f>
        <v>0</v>
      </c>
    </row>
    <row r="20" spans="1:12">
      <c r="A20">
        <v>7</v>
      </c>
      <c r="C20" t="str">
        <f>shubetsu007&amp;""</f>
        <v/>
      </c>
      <c r="D20" s="58" t="str">
        <f>billid007&amp;""</f>
        <v/>
      </c>
      <c r="E20" s="58" t="str">
        <f>UPPER(SUBSTITUTE(番明[[#This Row],[ご請求番号]],"-",""))</f>
        <v/>
      </c>
      <c r="F20" s="58" t="str">
        <f>keiyakuid007&amp;""</f>
        <v/>
      </c>
      <c r="I20" t="str">
        <f>IF(accelikkatsu007="","希望しない",accelikkatsu007)</f>
        <v>希望しない</v>
      </c>
      <c r="J20" t="str">
        <f>IF(belugabunyn007="","なし",belugabunyn007)</f>
        <v>なし</v>
      </c>
      <c r="K20" s="59" t="str">
        <f>belugabun007&amp;""</f>
        <v/>
      </c>
      <c r="L20" t="b">
        <f>shutoku007</f>
        <v>0</v>
      </c>
    </row>
    <row r="21" spans="1:12">
      <c r="A21">
        <v>8</v>
      </c>
      <c r="C21" t="str">
        <f>shubetsu008&amp;""</f>
        <v/>
      </c>
      <c r="D21" s="58" t="str">
        <f>billid008&amp;""</f>
        <v/>
      </c>
      <c r="E21" s="58" t="str">
        <f>UPPER(SUBSTITUTE(番明[[#This Row],[ご請求番号]],"-",""))</f>
        <v/>
      </c>
      <c r="F21" s="58" t="str">
        <f>keiyakuid008&amp;""</f>
        <v/>
      </c>
      <c r="I21" t="str">
        <f>IF(accelikkatsu008="","希望しない",accelikkatsu008)</f>
        <v>希望しない</v>
      </c>
      <c r="J21" t="str">
        <f>IF(belugabunyn008="","なし",belugabunyn008)</f>
        <v>なし</v>
      </c>
      <c r="K21" s="59" t="str">
        <f>belugabun008&amp;""</f>
        <v/>
      </c>
      <c r="L21" t="b">
        <f>shutoku008</f>
        <v>0</v>
      </c>
    </row>
    <row r="22" spans="1:12">
      <c r="A22">
        <v>9</v>
      </c>
      <c r="C22" t="str">
        <f>shubetsu009&amp;""</f>
        <v/>
      </c>
      <c r="D22" s="58" t="str">
        <f>billid009&amp;""</f>
        <v/>
      </c>
      <c r="E22" s="58" t="str">
        <f>UPPER(SUBSTITUTE(番明[[#This Row],[ご請求番号]],"-",""))</f>
        <v/>
      </c>
      <c r="F22" s="58" t="str">
        <f>keiyakuid009&amp;""</f>
        <v/>
      </c>
      <c r="I22" t="str">
        <f>IF(accelikkatsu009="","希望しない",accelikkatsu009)</f>
        <v>希望しない</v>
      </c>
      <c r="J22" t="str">
        <f>IF(belugabunyn009="","なし",belugabunyn009)</f>
        <v>なし</v>
      </c>
      <c r="K22" s="59" t="str">
        <f>belugabun009&amp;""</f>
        <v/>
      </c>
      <c r="L22" t="b">
        <f>shutoku009</f>
        <v>0</v>
      </c>
    </row>
    <row r="23" spans="1:12">
      <c r="A23">
        <v>10</v>
      </c>
      <c r="C23" t="str">
        <f>shubetsu010&amp;""</f>
        <v/>
      </c>
      <c r="D23" s="58" t="str">
        <f>billid010&amp;""</f>
        <v/>
      </c>
      <c r="E23" s="58" t="str">
        <f>UPPER(SUBSTITUTE(番明[[#This Row],[ご請求番号]],"-",""))</f>
        <v/>
      </c>
      <c r="F23" s="58" t="str">
        <f>keiyakuid010&amp;""</f>
        <v/>
      </c>
      <c r="I23" t="str">
        <f>IF(accelikkatsu010="","希望しない",accelikkatsu010)</f>
        <v>希望しない</v>
      </c>
      <c r="J23" t="str">
        <f>IF(belugabunyn010="","なし",belugabunyn010)</f>
        <v>なし</v>
      </c>
      <c r="K23" s="59" t="str">
        <f>belugabun010&amp;""</f>
        <v/>
      </c>
      <c r="L23" t="b">
        <f>shutoku010</f>
        <v>0</v>
      </c>
    </row>
    <row r="24" spans="1:12">
      <c r="A24">
        <v>11</v>
      </c>
      <c r="C24" t="str">
        <f>shubetsu011&amp;""</f>
        <v/>
      </c>
      <c r="D24" s="58" t="str">
        <f>billid011&amp;""</f>
        <v/>
      </c>
      <c r="E24" s="58" t="str">
        <f>UPPER(SUBSTITUTE(番明[[#This Row],[ご請求番号]],"-",""))</f>
        <v/>
      </c>
      <c r="F24" s="58" t="str">
        <f>keiyakuid011&amp;""</f>
        <v/>
      </c>
      <c r="I24" t="str">
        <f>IF(accelikkatsu011="","希望しない",accelikkatsu011)</f>
        <v>希望しない</v>
      </c>
      <c r="J24" t="str">
        <f>IF(belugabunyn011="","なし",belugabunyn011)</f>
        <v>なし</v>
      </c>
      <c r="K24" s="59" t="str">
        <f>belugabun011&amp;""</f>
        <v/>
      </c>
      <c r="L24" t="b">
        <f>shutoku011</f>
        <v>0</v>
      </c>
    </row>
    <row r="25" spans="1:12">
      <c r="A25">
        <v>12</v>
      </c>
      <c r="C25" t="str">
        <f>shubetsu012&amp;""</f>
        <v/>
      </c>
      <c r="D25" s="58" t="str">
        <f>billid012&amp;""</f>
        <v/>
      </c>
      <c r="E25" s="58" t="str">
        <f>UPPER(SUBSTITUTE(番明[[#This Row],[ご請求番号]],"-",""))</f>
        <v/>
      </c>
      <c r="F25" s="58" t="str">
        <f>keiyakuid012&amp;""</f>
        <v/>
      </c>
      <c r="I25" t="str">
        <f>IF(accelikkatsu012="","希望しない",accelikkatsu012)</f>
        <v>希望しない</v>
      </c>
      <c r="J25" t="str">
        <f>IF(belugabunyn012="","なし",belugabunyn012)</f>
        <v>なし</v>
      </c>
      <c r="K25" s="59" t="str">
        <f>belugabun012&amp;""</f>
        <v/>
      </c>
      <c r="L25" t="b">
        <f>shutoku012</f>
        <v>0</v>
      </c>
    </row>
    <row r="26" spans="1:12">
      <c r="A26">
        <v>13</v>
      </c>
      <c r="C26" t="str">
        <f>shubetsu013&amp;""</f>
        <v/>
      </c>
      <c r="D26" s="58" t="str">
        <f>billid013&amp;""</f>
        <v/>
      </c>
      <c r="E26" s="58" t="str">
        <f>UPPER(SUBSTITUTE(番明[[#This Row],[ご請求番号]],"-",""))</f>
        <v/>
      </c>
      <c r="F26" s="58" t="str">
        <f>keiyakuid013&amp;""</f>
        <v/>
      </c>
      <c r="I26" t="str">
        <f>IF(accelikkatsu013="","希望しない",accelikkatsu013)</f>
        <v>希望しない</v>
      </c>
      <c r="J26" t="str">
        <f>IF(belugabunyn013="","なし",belugabunyn013)</f>
        <v>なし</v>
      </c>
      <c r="K26" s="59" t="str">
        <f>belugabun013&amp;""</f>
        <v/>
      </c>
      <c r="L26" t="b">
        <f>shutoku013</f>
        <v>0</v>
      </c>
    </row>
    <row r="27" spans="1:12">
      <c r="A27">
        <v>14</v>
      </c>
      <c r="C27" t="str">
        <f>shubetsu014&amp;""</f>
        <v/>
      </c>
      <c r="D27" s="58" t="str">
        <f>billid014&amp;""</f>
        <v/>
      </c>
      <c r="E27" s="58" t="str">
        <f>UPPER(SUBSTITUTE(番明[[#This Row],[ご請求番号]],"-",""))</f>
        <v/>
      </c>
      <c r="F27" s="58" t="str">
        <f>keiyakuid014&amp;""</f>
        <v/>
      </c>
      <c r="I27" t="str">
        <f>IF(accelikkatsu014="","希望しない",accelikkatsu014)</f>
        <v>希望しない</v>
      </c>
      <c r="J27" t="str">
        <f>IF(belugabunyn014="","なし",belugabunyn014)</f>
        <v>なし</v>
      </c>
      <c r="K27" s="59" t="str">
        <f>belugabun014&amp;""</f>
        <v/>
      </c>
      <c r="L27" t="b">
        <f>shutoku014</f>
        <v>0</v>
      </c>
    </row>
    <row r="28" spans="1:12">
      <c r="A28">
        <v>15</v>
      </c>
      <c r="C28" t="str">
        <f>shubetsu015&amp;""</f>
        <v/>
      </c>
      <c r="D28" s="58" t="str">
        <f>billid015&amp;""</f>
        <v/>
      </c>
      <c r="E28" s="58" t="str">
        <f>UPPER(SUBSTITUTE(番明[[#This Row],[ご請求番号]],"-",""))</f>
        <v/>
      </c>
      <c r="F28" s="58" t="str">
        <f>keiyakuid015&amp;""</f>
        <v/>
      </c>
      <c r="I28" t="str">
        <f>IF(accelikkatsu015="","希望しない",accelikkatsu015)</f>
        <v>希望しない</v>
      </c>
      <c r="J28" t="str">
        <f>IF(belugabunyn015="","なし",belugabunyn015)</f>
        <v>なし</v>
      </c>
      <c r="K28" s="59" t="str">
        <f>belugabun015&amp;""</f>
        <v/>
      </c>
      <c r="L28" t="b">
        <f>shutoku015</f>
        <v>0</v>
      </c>
    </row>
    <row r="29" spans="1:12">
      <c r="A29">
        <v>16</v>
      </c>
      <c r="C29" t="str">
        <f>shubetsu016&amp;""</f>
        <v/>
      </c>
      <c r="D29" s="58" t="str">
        <f>billid016&amp;""</f>
        <v/>
      </c>
      <c r="E29" s="58" t="str">
        <f>UPPER(SUBSTITUTE(番明[[#This Row],[ご請求番号]],"-",""))</f>
        <v/>
      </c>
      <c r="F29" s="58" t="str">
        <f>keiyakuid016&amp;""</f>
        <v/>
      </c>
      <c r="I29" t="str">
        <f>IF(accelikkatsu016="","希望しない",accelikkatsu016)</f>
        <v>希望しない</v>
      </c>
      <c r="J29" t="str">
        <f>IF(belugabunyn016="","なし",belugabunyn016)</f>
        <v>なし</v>
      </c>
      <c r="K29" s="59" t="str">
        <f>belugabun016&amp;""</f>
        <v/>
      </c>
      <c r="L29" t="b">
        <f>shutoku016</f>
        <v>0</v>
      </c>
    </row>
    <row r="30" spans="1:12">
      <c r="A30">
        <v>17</v>
      </c>
      <c r="C30" t="str">
        <f>shubetsu017&amp;""</f>
        <v/>
      </c>
      <c r="D30" s="58" t="str">
        <f>billid017&amp;""</f>
        <v/>
      </c>
      <c r="E30" s="58" t="str">
        <f>UPPER(SUBSTITUTE(番明[[#This Row],[ご請求番号]],"-",""))</f>
        <v/>
      </c>
      <c r="F30" s="58" t="str">
        <f>keiyakuid017&amp;""</f>
        <v/>
      </c>
      <c r="I30" t="str">
        <f>IF(accelikkatsu017="","希望しない",accelikkatsu017)</f>
        <v>希望しない</v>
      </c>
      <c r="J30" t="str">
        <f>IF(belugabunyn017="","なし",belugabunyn017)</f>
        <v>なし</v>
      </c>
      <c r="K30" s="59" t="str">
        <f>belugabun017&amp;""</f>
        <v/>
      </c>
      <c r="L30" t="b">
        <f>shutoku017</f>
        <v>0</v>
      </c>
    </row>
    <row r="31" spans="1:12">
      <c r="A31">
        <v>18</v>
      </c>
      <c r="C31" t="str">
        <f>shubetsu018&amp;""</f>
        <v/>
      </c>
      <c r="D31" s="58" t="str">
        <f>billid018&amp;""</f>
        <v/>
      </c>
      <c r="E31" s="58" t="str">
        <f>UPPER(SUBSTITUTE(番明[[#This Row],[ご請求番号]],"-",""))</f>
        <v/>
      </c>
      <c r="F31" s="58" t="str">
        <f>keiyakuid018&amp;""</f>
        <v/>
      </c>
      <c r="I31" t="str">
        <f>IF(accelikkatsu018="","希望しない",accelikkatsu018)</f>
        <v>希望しない</v>
      </c>
      <c r="J31" t="str">
        <f>IF(belugabunyn018="","なし",belugabunyn018)</f>
        <v>なし</v>
      </c>
      <c r="K31" s="59" t="str">
        <f>belugabun018&amp;""</f>
        <v/>
      </c>
      <c r="L31" t="b">
        <f>shutoku018</f>
        <v>0</v>
      </c>
    </row>
    <row r="32" spans="1:12">
      <c r="A32">
        <v>19</v>
      </c>
      <c r="C32" t="str">
        <f>shubetsu019&amp;""</f>
        <v/>
      </c>
      <c r="D32" s="58" t="str">
        <f>billid019&amp;""</f>
        <v/>
      </c>
      <c r="E32" s="58" t="str">
        <f>UPPER(SUBSTITUTE(番明[[#This Row],[ご請求番号]],"-",""))</f>
        <v/>
      </c>
      <c r="F32" s="58" t="str">
        <f>keiyakuid019&amp;""</f>
        <v/>
      </c>
      <c r="I32" t="str">
        <f>IF(accelikkatsu019="","希望しない",accelikkatsu019)</f>
        <v>希望しない</v>
      </c>
      <c r="J32" t="str">
        <f>IF(belugabunyn019="","なし",belugabunyn019)</f>
        <v>なし</v>
      </c>
      <c r="K32" s="59" t="str">
        <f>belugabun019&amp;""</f>
        <v/>
      </c>
      <c r="L32" t="b">
        <f>shutoku019</f>
        <v>0</v>
      </c>
    </row>
    <row r="33" spans="1:12">
      <c r="A33">
        <v>20</v>
      </c>
      <c r="C33" t="str">
        <f>shubetsu020&amp;""</f>
        <v/>
      </c>
      <c r="D33" s="58" t="str">
        <f>billid020&amp;""</f>
        <v/>
      </c>
      <c r="E33" s="58" t="str">
        <f>UPPER(SUBSTITUTE(番明[[#This Row],[ご請求番号]],"-",""))</f>
        <v/>
      </c>
      <c r="F33" s="58" t="str">
        <f>keiyakuid020&amp;""</f>
        <v/>
      </c>
      <c r="I33" t="str">
        <f>IF(accelikkatsu020="","希望しない",accelikkatsu020)</f>
        <v>希望しない</v>
      </c>
      <c r="J33" t="str">
        <f>IF(belugabunyn020="","なし",belugabunyn020)</f>
        <v>なし</v>
      </c>
      <c r="K33" s="59" t="str">
        <f>belugabun020&amp;""</f>
        <v/>
      </c>
      <c r="L33" t="b">
        <f>shutoku020</f>
        <v>0</v>
      </c>
    </row>
    <row r="34" spans="1:12">
      <c r="A34">
        <v>21</v>
      </c>
      <c r="C34" t="str">
        <f>shubetsu021&amp;""</f>
        <v/>
      </c>
      <c r="D34" s="58" t="str">
        <f>billid021&amp;""</f>
        <v/>
      </c>
      <c r="E34" s="58" t="str">
        <f>UPPER(SUBSTITUTE(番明[[#This Row],[ご請求番号]],"-",""))</f>
        <v/>
      </c>
      <c r="F34" s="58" t="str">
        <f>keiyakuid021&amp;""</f>
        <v/>
      </c>
      <c r="I34" t="str">
        <f>IF(accelikkatsu021="","希望しない",accelikkatsu021)</f>
        <v>希望しない</v>
      </c>
      <c r="J34" t="str">
        <f>IF(belugabunyn021="","なし",belugabunyn021)</f>
        <v>なし</v>
      </c>
      <c r="K34" s="59" t="str">
        <f>belugabun021&amp;""</f>
        <v/>
      </c>
      <c r="L34" t="b">
        <f>shutoku021</f>
        <v>0</v>
      </c>
    </row>
    <row r="35" spans="1:12">
      <c r="A35">
        <v>22</v>
      </c>
      <c r="C35" t="str">
        <f>shubetsu022&amp;""</f>
        <v/>
      </c>
      <c r="D35" s="58" t="str">
        <f>billid022&amp;""</f>
        <v/>
      </c>
      <c r="E35" s="58" t="str">
        <f>UPPER(SUBSTITUTE(番明[[#This Row],[ご請求番号]],"-",""))</f>
        <v/>
      </c>
      <c r="F35" s="58" t="str">
        <f>keiyakuid022&amp;""</f>
        <v/>
      </c>
      <c r="I35" t="str">
        <f>IF(accelikkatsu022="","希望しない",accelikkatsu022)</f>
        <v>希望しない</v>
      </c>
      <c r="J35" t="str">
        <f>IF(belugabunyn022="","なし",belugabunyn022)</f>
        <v>なし</v>
      </c>
      <c r="K35" s="59" t="str">
        <f>belugabun022&amp;""</f>
        <v/>
      </c>
      <c r="L35" t="b">
        <f>shutoku022</f>
        <v>0</v>
      </c>
    </row>
    <row r="36" spans="1:12">
      <c r="A36">
        <v>23</v>
      </c>
      <c r="C36" t="str">
        <f>shubetsu023&amp;""</f>
        <v/>
      </c>
      <c r="D36" s="58" t="str">
        <f>billid023&amp;""</f>
        <v/>
      </c>
      <c r="E36" s="58" t="str">
        <f>UPPER(SUBSTITUTE(番明[[#This Row],[ご請求番号]],"-",""))</f>
        <v/>
      </c>
      <c r="F36" s="58" t="str">
        <f>keiyakuid023&amp;""</f>
        <v/>
      </c>
      <c r="I36" t="str">
        <f>IF(accelikkatsu023="","希望しない",accelikkatsu023)</f>
        <v>希望しない</v>
      </c>
      <c r="J36" t="str">
        <f>IF(belugabunyn023="","なし",belugabunyn023)</f>
        <v>なし</v>
      </c>
      <c r="K36" s="59" t="str">
        <f>belugabun023&amp;""</f>
        <v/>
      </c>
      <c r="L36" t="b">
        <f>shutoku023</f>
        <v>0</v>
      </c>
    </row>
    <row r="37" spans="1:12">
      <c r="A37">
        <v>24</v>
      </c>
      <c r="C37" t="str">
        <f>shubetsu024&amp;""</f>
        <v/>
      </c>
      <c r="D37" s="58" t="str">
        <f>billid024&amp;""</f>
        <v/>
      </c>
      <c r="E37" s="58" t="str">
        <f>UPPER(SUBSTITUTE(番明[[#This Row],[ご請求番号]],"-",""))</f>
        <v/>
      </c>
      <c r="F37" s="58" t="str">
        <f>keiyakuid024&amp;""</f>
        <v/>
      </c>
      <c r="I37" t="str">
        <f>IF(accelikkatsu024="","希望しない",accelikkatsu024)</f>
        <v>希望しない</v>
      </c>
      <c r="J37" t="str">
        <f>IF(belugabunyn024="","なし",belugabunyn024)</f>
        <v>なし</v>
      </c>
      <c r="K37" s="59" t="str">
        <f>belugabun024&amp;""</f>
        <v/>
      </c>
      <c r="L37" t="b">
        <f>shutoku024</f>
        <v>0</v>
      </c>
    </row>
    <row r="38" spans="1:12">
      <c r="A38">
        <v>25</v>
      </c>
      <c r="C38" t="str">
        <f>shubetsu025&amp;""</f>
        <v/>
      </c>
      <c r="D38" s="58" t="str">
        <f>billid025&amp;""</f>
        <v/>
      </c>
      <c r="E38" s="58" t="str">
        <f>UPPER(SUBSTITUTE(番明[[#This Row],[ご請求番号]],"-",""))</f>
        <v/>
      </c>
      <c r="F38" s="58" t="str">
        <f>keiyakuid025&amp;""</f>
        <v/>
      </c>
      <c r="I38" t="str">
        <f>IF(accelikkatsu025="","希望しない",accelikkatsu025)</f>
        <v>希望しない</v>
      </c>
      <c r="J38" t="str">
        <f>IF(belugabunyn025="","なし",belugabunyn025)</f>
        <v>なし</v>
      </c>
      <c r="K38" s="59" t="str">
        <f>belugabun025&amp;""</f>
        <v/>
      </c>
      <c r="L38" t="b">
        <f>shutoku025</f>
        <v>0</v>
      </c>
    </row>
    <row r="39" spans="1:12">
      <c r="A39">
        <v>26</v>
      </c>
      <c r="C39" t="str">
        <f>shubetsu026&amp;""</f>
        <v/>
      </c>
      <c r="D39" s="58" t="str">
        <f>billid026&amp;""</f>
        <v/>
      </c>
      <c r="E39" s="58" t="str">
        <f>UPPER(SUBSTITUTE(番明[[#This Row],[ご請求番号]],"-",""))</f>
        <v/>
      </c>
      <c r="F39" s="58" t="str">
        <f>keiyakuid026&amp;""</f>
        <v/>
      </c>
      <c r="I39" t="str">
        <f>IF(accelikkatsu026="","希望しない",accelikkatsu026)</f>
        <v>希望しない</v>
      </c>
      <c r="J39" t="str">
        <f>IF(belugabunyn026="","なし",belugabunyn026)</f>
        <v>なし</v>
      </c>
      <c r="K39" s="59" t="str">
        <f>belugabun026&amp;""</f>
        <v/>
      </c>
      <c r="L39" t="b">
        <f>shutoku026</f>
        <v>0</v>
      </c>
    </row>
    <row r="40" spans="1:12">
      <c r="A40">
        <v>27</v>
      </c>
      <c r="C40" t="str">
        <f>shubetsu027&amp;""</f>
        <v/>
      </c>
      <c r="D40" s="58" t="str">
        <f>billid027&amp;""</f>
        <v/>
      </c>
      <c r="E40" s="58" t="str">
        <f>UPPER(SUBSTITUTE(番明[[#This Row],[ご請求番号]],"-",""))</f>
        <v/>
      </c>
      <c r="F40" s="58" t="str">
        <f>keiyakuid027&amp;""</f>
        <v/>
      </c>
      <c r="I40" t="str">
        <f>IF(accelikkatsu027="","希望しない",accelikkatsu027)</f>
        <v>希望しない</v>
      </c>
      <c r="J40" t="str">
        <f>IF(belugabunyn027="","なし",belugabunyn027)</f>
        <v>なし</v>
      </c>
      <c r="K40" s="59" t="str">
        <f>belugabun027&amp;""</f>
        <v/>
      </c>
      <c r="L40" t="b">
        <f>shutoku027</f>
        <v>0</v>
      </c>
    </row>
    <row r="41" spans="1:12">
      <c r="A41">
        <v>28</v>
      </c>
      <c r="C41" t="str">
        <f>shubetsu028&amp;""</f>
        <v/>
      </c>
      <c r="D41" s="58" t="str">
        <f>billid028&amp;""</f>
        <v/>
      </c>
      <c r="E41" s="58" t="str">
        <f>UPPER(SUBSTITUTE(番明[[#This Row],[ご請求番号]],"-",""))</f>
        <v/>
      </c>
      <c r="F41" s="58" t="str">
        <f>keiyakuid028&amp;""</f>
        <v/>
      </c>
      <c r="I41" t="str">
        <f>IF(accelikkatsu028="","希望しない",accelikkatsu028)</f>
        <v>希望しない</v>
      </c>
      <c r="J41" t="str">
        <f>IF(belugabunyn028="","なし",belugabunyn028)</f>
        <v>なし</v>
      </c>
      <c r="K41" s="59" t="str">
        <f>belugabun028&amp;""</f>
        <v/>
      </c>
      <c r="L41" t="b">
        <f>shutoku028</f>
        <v>0</v>
      </c>
    </row>
    <row r="42" spans="1:12">
      <c r="A42">
        <v>29</v>
      </c>
      <c r="C42" t="str">
        <f>shubetsu029&amp;""</f>
        <v/>
      </c>
      <c r="D42" s="58" t="str">
        <f>billid029&amp;""</f>
        <v/>
      </c>
      <c r="E42" s="58" t="str">
        <f>UPPER(SUBSTITUTE(番明[[#This Row],[ご請求番号]],"-",""))</f>
        <v/>
      </c>
      <c r="F42" s="58" t="str">
        <f>keiyakuid029&amp;""</f>
        <v/>
      </c>
      <c r="I42" t="str">
        <f>IF(accelikkatsu029="","希望しない",accelikkatsu029)</f>
        <v>希望しない</v>
      </c>
      <c r="J42" t="str">
        <f>IF(belugabunyn029="","なし",belugabunyn029)</f>
        <v>なし</v>
      </c>
      <c r="K42" s="59" t="str">
        <f>belugabun029&amp;""</f>
        <v/>
      </c>
      <c r="L42" t="b">
        <f>shutoku029</f>
        <v>0</v>
      </c>
    </row>
    <row r="43" spans="1:12">
      <c r="A43">
        <v>30</v>
      </c>
      <c r="C43" t="str">
        <f>shubetsu030&amp;""</f>
        <v/>
      </c>
      <c r="D43" s="58" t="str">
        <f>billid030&amp;""</f>
        <v/>
      </c>
      <c r="E43" s="58" t="str">
        <f>UPPER(SUBSTITUTE(番明[[#This Row],[ご請求番号]],"-",""))</f>
        <v/>
      </c>
      <c r="F43" s="58" t="str">
        <f>keiyakuid030&amp;""</f>
        <v/>
      </c>
      <c r="I43" t="str">
        <f>IF(accelikkatsu030="","希望しない",accelikkatsu030)</f>
        <v>希望しない</v>
      </c>
      <c r="J43" t="str">
        <f>IF(belugabunyn030="","なし",belugabunyn030)</f>
        <v>なし</v>
      </c>
      <c r="K43" s="59" t="str">
        <f>belugabun030&amp;""</f>
        <v/>
      </c>
      <c r="L43" t="b">
        <f>shutoku030</f>
        <v>0</v>
      </c>
    </row>
    <row r="44" spans="1:12">
      <c r="A44">
        <v>31</v>
      </c>
      <c r="C44" t="str">
        <f>shubetsu031&amp;""</f>
        <v/>
      </c>
      <c r="D44" s="58" t="str">
        <f>billid031&amp;""</f>
        <v/>
      </c>
      <c r="E44" s="58" t="str">
        <f>UPPER(SUBSTITUTE(番明[[#This Row],[ご請求番号]],"-",""))</f>
        <v/>
      </c>
      <c r="F44" s="58" t="str">
        <f>keiyakuid031&amp;""</f>
        <v/>
      </c>
      <c r="I44" t="str">
        <f>IF(accelikkatsu031="","希望しない",accelikkatsu031)</f>
        <v>希望しない</v>
      </c>
      <c r="J44" t="str">
        <f>IF(belugabunyn031="","なし",belugabunyn031)</f>
        <v>なし</v>
      </c>
      <c r="K44" s="59" t="str">
        <f>belugabun031&amp;""</f>
        <v/>
      </c>
      <c r="L44" t="b">
        <f>shutoku031</f>
        <v>0</v>
      </c>
    </row>
    <row r="45" spans="1:12">
      <c r="A45">
        <v>32</v>
      </c>
      <c r="C45" t="str">
        <f>shubetsu032&amp;""</f>
        <v/>
      </c>
      <c r="D45" s="58" t="str">
        <f>billid032&amp;""</f>
        <v/>
      </c>
      <c r="E45" s="58" t="str">
        <f>UPPER(SUBSTITUTE(番明[[#This Row],[ご請求番号]],"-",""))</f>
        <v/>
      </c>
      <c r="F45" s="58" t="str">
        <f>keiyakuid032&amp;""</f>
        <v/>
      </c>
      <c r="I45" t="str">
        <f>IF(accelikkatsu032="","希望しない",accelikkatsu032)</f>
        <v>希望しない</v>
      </c>
      <c r="J45" t="str">
        <f>IF(belugabunyn032="","なし",belugabunyn032)</f>
        <v>なし</v>
      </c>
      <c r="K45" s="59" t="str">
        <f>belugabun032&amp;""</f>
        <v/>
      </c>
      <c r="L45" t="b">
        <f>shutoku032</f>
        <v>0</v>
      </c>
    </row>
    <row r="46" spans="1:12">
      <c r="A46">
        <v>33</v>
      </c>
      <c r="C46" t="str">
        <f>shubetsu033&amp;""</f>
        <v/>
      </c>
      <c r="D46" s="58" t="str">
        <f>billid033&amp;""</f>
        <v/>
      </c>
      <c r="E46" s="58" t="str">
        <f>UPPER(SUBSTITUTE(番明[[#This Row],[ご請求番号]],"-",""))</f>
        <v/>
      </c>
      <c r="F46" s="58" t="str">
        <f>keiyakuid033&amp;""</f>
        <v/>
      </c>
      <c r="I46" t="str">
        <f>IF(accelikkatsu033="","希望しない",accelikkatsu033)</f>
        <v>希望しない</v>
      </c>
      <c r="J46" t="str">
        <f>IF(belugabunyn033="","なし",belugabunyn033)</f>
        <v>なし</v>
      </c>
      <c r="K46" s="59" t="str">
        <f>belugabun033&amp;""</f>
        <v/>
      </c>
      <c r="L46" t="b">
        <f>shutoku033</f>
        <v>0</v>
      </c>
    </row>
    <row r="47" spans="1:12">
      <c r="A47">
        <v>34</v>
      </c>
      <c r="C47" t="str">
        <f>shubetsu034&amp;""</f>
        <v/>
      </c>
      <c r="D47" s="58" t="str">
        <f>billid034&amp;""</f>
        <v/>
      </c>
      <c r="E47" s="58" t="str">
        <f>UPPER(SUBSTITUTE(番明[[#This Row],[ご請求番号]],"-",""))</f>
        <v/>
      </c>
      <c r="F47" s="58" t="str">
        <f>keiyakuid034&amp;""</f>
        <v/>
      </c>
      <c r="I47" t="str">
        <f>IF(accelikkatsu034="","希望しない",accelikkatsu034)</f>
        <v>希望しない</v>
      </c>
      <c r="J47" t="str">
        <f>IF(belugabunyn034="","なし",belugabunyn034)</f>
        <v>なし</v>
      </c>
      <c r="K47" s="59" t="str">
        <f>belugabun034&amp;""</f>
        <v/>
      </c>
      <c r="L47" t="b">
        <f>shutoku034</f>
        <v>0</v>
      </c>
    </row>
    <row r="48" spans="1:12">
      <c r="A48">
        <v>35</v>
      </c>
      <c r="C48" t="str">
        <f>shubetsu035&amp;""</f>
        <v/>
      </c>
      <c r="D48" s="58" t="str">
        <f>billid035&amp;""</f>
        <v/>
      </c>
      <c r="E48" s="58" t="str">
        <f>UPPER(SUBSTITUTE(番明[[#This Row],[ご請求番号]],"-",""))</f>
        <v/>
      </c>
      <c r="F48" s="58" t="str">
        <f>keiyakuid035&amp;""</f>
        <v/>
      </c>
      <c r="I48" t="str">
        <f>IF(accelikkatsu035="","希望しない",accelikkatsu035)</f>
        <v>希望しない</v>
      </c>
      <c r="J48" t="str">
        <f>IF(belugabunyn035="","なし",belugabunyn035)</f>
        <v>なし</v>
      </c>
      <c r="K48" s="59" t="str">
        <f>belugabun035&amp;""</f>
        <v/>
      </c>
      <c r="L48" t="b">
        <f>shutoku035</f>
        <v>0</v>
      </c>
    </row>
    <row r="49" spans="1:12">
      <c r="A49">
        <v>36</v>
      </c>
      <c r="C49" t="str">
        <f>shubetsu036&amp;""</f>
        <v/>
      </c>
      <c r="D49" s="58" t="str">
        <f>billid036&amp;""</f>
        <v/>
      </c>
      <c r="E49" s="58" t="str">
        <f>UPPER(SUBSTITUTE(番明[[#This Row],[ご請求番号]],"-",""))</f>
        <v/>
      </c>
      <c r="F49" s="58" t="str">
        <f>keiyakuid036&amp;""</f>
        <v/>
      </c>
      <c r="I49" t="str">
        <f>IF(accelikkatsu036="","希望しない",accelikkatsu036)</f>
        <v>希望しない</v>
      </c>
      <c r="J49" t="str">
        <f>IF(belugabunyn036="","なし",belugabunyn036)</f>
        <v>なし</v>
      </c>
      <c r="K49" s="59" t="str">
        <f>belugabun036&amp;""</f>
        <v/>
      </c>
      <c r="L49" t="b">
        <f>shutoku036</f>
        <v>0</v>
      </c>
    </row>
    <row r="50" spans="1:12">
      <c r="A50">
        <v>37</v>
      </c>
      <c r="C50" t="str">
        <f>shubetsu037&amp;""</f>
        <v/>
      </c>
      <c r="D50" s="58" t="str">
        <f>billid037&amp;""</f>
        <v/>
      </c>
      <c r="E50" s="58" t="str">
        <f>UPPER(SUBSTITUTE(番明[[#This Row],[ご請求番号]],"-",""))</f>
        <v/>
      </c>
      <c r="F50" s="58" t="str">
        <f>keiyakuid037&amp;""</f>
        <v/>
      </c>
      <c r="I50" t="str">
        <f>IF(accelikkatsu037="","希望しない",accelikkatsu037)</f>
        <v>希望しない</v>
      </c>
      <c r="J50" t="str">
        <f>IF(belugabunyn037="","なし",belugabunyn037)</f>
        <v>なし</v>
      </c>
      <c r="K50" s="59" t="str">
        <f>belugabun037&amp;""</f>
        <v/>
      </c>
      <c r="L50" t="b">
        <f>shutoku037</f>
        <v>0</v>
      </c>
    </row>
    <row r="51" spans="1:12">
      <c r="A51">
        <v>38</v>
      </c>
      <c r="C51" t="str">
        <f>shubetsu038&amp;""</f>
        <v/>
      </c>
      <c r="D51" s="58" t="str">
        <f>billid038&amp;""</f>
        <v/>
      </c>
      <c r="E51" s="58" t="str">
        <f>UPPER(SUBSTITUTE(番明[[#This Row],[ご請求番号]],"-",""))</f>
        <v/>
      </c>
      <c r="F51" s="58" t="str">
        <f>keiyakuid038&amp;""</f>
        <v/>
      </c>
      <c r="I51" t="str">
        <f>IF(accelikkatsu038="","希望しない",accelikkatsu038)</f>
        <v>希望しない</v>
      </c>
      <c r="J51" t="str">
        <f>IF(belugabunyn038="","なし",belugabunyn038)</f>
        <v>なし</v>
      </c>
      <c r="K51" s="59" t="str">
        <f>belugabun038&amp;""</f>
        <v/>
      </c>
      <c r="L51" t="b">
        <f>shutoku038</f>
        <v>0</v>
      </c>
    </row>
    <row r="52" spans="1:12">
      <c r="A52">
        <v>39</v>
      </c>
      <c r="C52" t="str">
        <f>shubetsu039&amp;""</f>
        <v/>
      </c>
      <c r="D52" s="58" t="str">
        <f>billid039&amp;""</f>
        <v/>
      </c>
      <c r="E52" s="58" t="str">
        <f>UPPER(SUBSTITUTE(番明[[#This Row],[ご請求番号]],"-",""))</f>
        <v/>
      </c>
      <c r="F52" s="58" t="str">
        <f>keiyakuid039&amp;""</f>
        <v/>
      </c>
      <c r="I52" t="str">
        <f>IF(accelikkatsu039="","希望しない",accelikkatsu039)</f>
        <v>希望しない</v>
      </c>
      <c r="J52" t="str">
        <f>IF(belugabunyn039="","なし",belugabunyn039)</f>
        <v>なし</v>
      </c>
      <c r="K52" s="59" t="str">
        <f>belugabun039&amp;""</f>
        <v/>
      </c>
      <c r="L52" t="b">
        <f>shutoku039</f>
        <v>0</v>
      </c>
    </row>
    <row r="53" spans="1:12">
      <c r="A53">
        <v>40</v>
      </c>
      <c r="C53" t="str">
        <f>shubetsu040&amp;""</f>
        <v/>
      </c>
      <c r="D53" s="58" t="str">
        <f>billid040&amp;""</f>
        <v/>
      </c>
      <c r="E53" s="58" t="str">
        <f>UPPER(SUBSTITUTE(番明[[#This Row],[ご請求番号]],"-",""))</f>
        <v/>
      </c>
      <c r="F53" s="58" t="str">
        <f>keiyakuid040&amp;""</f>
        <v/>
      </c>
      <c r="I53" t="str">
        <f>IF(accelikkatsu040="","希望しない",accelikkatsu040)</f>
        <v>希望しない</v>
      </c>
      <c r="J53" t="str">
        <f>IF(belugabunyn040="","なし",belugabunyn040)</f>
        <v>なし</v>
      </c>
      <c r="K53" s="59" t="str">
        <f>belugabun040&amp;""</f>
        <v/>
      </c>
      <c r="L53" t="b">
        <f>shutoku040</f>
        <v>0</v>
      </c>
    </row>
    <row r="54" spans="1:12">
      <c r="A54">
        <v>41</v>
      </c>
      <c r="C54" t="str">
        <f>shubetsu041&amp;""</f>
        <v/>
      </c>
      <c r="D54" s="58" t="str">
        <f>billid041&amp;""</f>
        <v/>
      </c>
      <c r="E54" s="58" t="str">
        <f>UPPER(SUBSTITUTE(番明[[#This Row],[ご請求番号]],"-",""))</f>
        <v/>
      </c>
      <c r="F54" s="58" t="str">
        <f>keiyakuid041&amp;""</f>
        <v/>
      </c>
      <c r="I54" t="str">
        <f>IF(accelikkatsu041="","希望しない",accelikkatsu041)</f>
        <v>希望しない</v>
      </c>
      <c r="J54" t="str">
        <f>IF(belugabunyn041="","なし",belugabunyn041)</f>
        <v>なし</v>
      </c>
      <c r="K54" s="59" t="str">
        <f>belugabun041&amp;""</f>
        <v/>
      </c>
      <c r="L54" t="b">
        <f>shutoku041</f>
        <v>0</v>
      </c>
    </row>
    <row r="55" spans="1:12">
      <c r="A55">
        <v>42</v>
      </c>
      <c r="C55" t="str">
        <f>shubetsu042&amp;""</f>
        <v/>
      </c>
      <c r="D55" s="58" t="str">
        <f>billid042&amp;""</f>
        <v/>
      </c>
      <c r="E55" s="58" t="str">
        <f>UPPER(SUBSTITUTE(番明[[#This Row],[ご請求番号]],"-",""))</f>
        <v/>
      </c>
      <c r="F55" s="58" t="str">
        <f>keiyakuid042&amp;""</f>
        <v/>
      </c>
      <c r="I55" t="str">
        <f>IF(accelikkatsu042="","希望しない",accelikkatsu042)</f>
        <v>希望しない</v>
      </c>
      <c r="J55" t="str">
        <f>IF(belugabunyn042="","なし",belugabunyn042)</f>
        <v>なし</v>
      </c>
      <c r="K55" s="59" t="str">
        <f>belugabun042&amp;""</f>
        <v/>
      </c>
      <c r="L55" t="b">
        <f>shutoku042</f>
        <v>0</v>
      </c>
    </row>
    <row r="56" spans="1:12">
      <c r="A56">
        <v>43</v>
      </c>
      <c r="C56" t="str">
        <f>shubetsu043&amp;""</f>
        <v/>
      </c>
      <c r="D56" s="58" t="str">
        <f>billid043&amp;""</f>
        <v/>
      </c>
      <c r="E56" s="58" t="str">
        <f>UPPER(SUBSTITUTE(番明[[#This Row],[ご請求番号]],"-",""))</f>
        <v/>
      </c>
      <c r="F56" s="58" t="str">
        <f>keiyakuid043&amp;""</f>
        <v/>
      </c>
      <c r="I56" t="str">
        <f>IF(accelikkatsu043="","希望しない",accelikkatsu043)</f>
        <v>希望しない</v>
      </c>
      <c r="J56" t="str">
        <f>IF(belugabunyn043="","なし",belugabunyn043)</f>
        <v>なし</v>
      </c>
      <c r="K56" s="59" t="str">
        <f>belugabun043&amp;""</f>
        <v/>
      </c>
      <c r="L56" t="b">
        <f>shutoku043</f>
        <v>0</v>
      </c>
    </row>
    <row r="57" spans="1:12">
      <c r="A57">
        <v>44</v>
      </c>
      <c r="C57" t="str">
        <f>shubetsu044&amp;""</f>
        <v/>
      </c>
      <c r="D57" s="58" t="str">
        <f>billid044&amp;""</f>
        <v/>
      </c>
      <c r="E57" s="58" t="str">
        <f>UPPER(SUBSTITUTE(番明[[#This Row],[ご請求番号]],"-",""))</f>
        <v/>
      </c>
      <c r="F57" s="58" t="str">
        <f>keiyakuid044&amp;""</f>
        <v/>
      </c>
      <c r="I57" t="str">
        <f>IF(accelikkatsu044="","希望しない",accelikkatsu044)</f>
        <v>希望しない</v>
      </c>
      <c r="J57" t="str">
        <f>IF(belugabunyn044="","なし",belugabunyn044)</f>
        <v>なし</v>
      </c>
      <c r="K57" s="59" t="str">
        <f>belugabun044&amp;""</f>
        <v/>
      </c>
      <c r="L57" t="b">
        <f>shutoku044</f>
        <v>0</v>
      </c>
    </row>
    <row r="58" spans="1:12">
      <c r="A58">
        <v>45</v>
      </c>
      <c r="C58" t="str">
        <f>shubetsu045&amp;""</f>
        <v/>
      </c>
      <c r="D58" s="58" t="str">
        <f>billid045&amp;""</f>
        <v/>
      </c>
      <c r="E58" s="58" t="str">
        <f>UPPER(SUBSTITUTE(番明[[#This Row],[ご請求番号]],"-",""))</f>
        <v/>
      </c>
      <c r="F58" s="58" t="str">
        <f>keiyakuid045&amp;""</f>
        <v/>
      </c>
      <c r="I58" t="str">
        <f>IF(accelikkatsu045="","希望しない",accelikkatsu045)</f>
        <v>希望しない</v>
      </c>
      <c r="J58" t="str">
        <f>IF(belugabunyn045="","なし",belugabunyn045)</f>
        <v>なし</v>
      </c>
      <c r="K58" s="59" t="str">
        <f>belugabun045&amp;""</f>
        <v/>
      </c>
      <c r="L58" t="b">
        <f>shutoku045</f>
        <v>0</v>
      </c>
    </row>
    <row r="59" spans="1:12">
      <c r="A59">
        <v>46</v>
      </c>
      <c r="C59" t="str">
        <f>shubetsu046&amp;""</f>
        <v/>
      </c>
      <c r="D59" s="58" t="str">
        <f>billid046&amp;""</f>
        <v/>
      </c>
      <c r="E59" s="58" t="str">
        <f>UPPER(SUBSTITUTE(番明[[#This Row],[ご請求番号]],"-",""))</f>
        <v/>
      </c>
      <c r="F59" s="58" t="str">
        <f>keiyakuid046&amp;""</f>
        <v/>
      </c>
      <c r="I59" t="str">
        <f>IF(accelikkatsu046="","希望しない",accelikkatsu046)</f>
        <v>希望しない</v>
      </c>
      <c r="J59" t="str">
        <f>IF(belugabunyn046="","なし",belugabunyn046)</f>
        <v>なし</v>
      </c>
      <c r="K59" s="59" t="str">
        <f>belugabun046&amp;""</f>
        <v/>
      </c>
      <c r="L59" t="b">
        <f>shutoku046</f>
        <v>0</v>
      </c>
    </row>
    <row r="60" spans="1:12">
      <c r="A60">
        <v>47</v>
      </c>
      <c r="C60" t="str">
        <f>shubetsu047&amp;""</f>
        <v/>
      </c>
      <c r="D60" s="58" t="str">
        <f>billid047&amp;""</f>
        <v/>
      </c>
      <c r="E60" s="58" t="str">
        <f>UPPER(SUBSTITUTE(番明[[#This Row],[ご請求番号]],"-",""))</f>
        <v/>
      </c>
      <c r="F60" s="58" t="str">
        <f>keiyakuid047&amp;""</f>
        <v/>
      </c>
      <c r="I60" t="str">
        <f>IF(accelikkatsu047="","希望しない",accelikkatsu047)</f>
        <v>希望しない</v>
      </c>
      <c r="J60" t="str">
        <f>IF(belugabunyn047="","なし",belugabunyn047)</f>
        <v>なし</v>
      </c>
      <c r="K60" s="59" t="str">
        <f>belugabun047&amp;""</f>
        <v/>
      </c>
      <c r="L60" t="b">
        <f>shutoku047</f>
        <v>0</v>
      </c>
    </row>
    <row r="61" spans="1:12">
      <c r="A61">
        <v>48</v>
      </c>
      <c r="C61" t="str">
        <f>shubetsu048&amp;""</f>
        <v/>
      </c>
      <c r="D61" s="58" t="str">
        <f>billid048&amp;""</f>
        <v/>
      </c>
      <c r="E61" s="58" t="str">
        <f>UPPER(SUBSTITUTE(番明[[#This Row],[ご請求番号]],"-",""))</f>
        <v/>
      </c>
      <c r="F61" s="58" t="str">
        <f>keiyakuid048&amp;""</f>
        <v/>
      </c>
      <c r="I61" t="str">
        <f>IF(accelikkatsu048="","希望しない",accelikkatsu048)</f>
        <v>希望しない</v>
      </c>
      <c r="J61" t="str">
        <f>IF(belugabunyn048="","なし",belugabunyn048)</f>
        <v>なし</v>
      </c>
      <c r="K61" s="59" t="str">
        <f>belugabun048&amp;""</f>
        <v/>
      </c>
      <c r="L61" t="b">
        <f>shutoku048</f>
        <v>0</v>
      </c>
    </row>
    <row r="62" spans="1:12">
      <c r="A62">
        <v>49</v>
      </c>
      <c r="C62" t="str">
        <f>shubetsu049&amp;""</f>
        <v/>
      </c>
      <c r="D62" s="58" t="str">
        <f>billid049&amp;""</f>
        <v/>
      </c>
      <c r="E62" s="58" t="str">
        <f>UPPER(SUBSTITUTE(番明[[#This Row],[ご請求番号]],"-",""))</f>
        <v/>
      </c>
      <c r="F62" s="58" t="str">
        <f>keiyakuid049&amp;""</f>
        <v/>
      </c>
      <c r="I62" t="str">
        <f>IF(accelikkatsu049="","希望しない",accelikkatsu049)</f>
        <v>希望しない</v>
      </c>
      <c r="J62" t="str">
        <f>IF(belugabunyn049="","なし",belugabunyn049)</f>
        <v>なし</v>
      </c>
      <c r="K62" s="59" t="str">
        <f>belugabun049&amp;""</f>
        <v/>
      </c>
      <c r="L62" t="b">
        <f>shutoku049</f>
        <v>0</v>
      </c>
    </row>
    <row r="63" spans="1:12">
      <c r="A63">
        <v>50</v>
      </c>
      <c r="C63" t="str">
        <f>shubetsu050&amp;""</f>
        <v/>
      </c>
      <c r="D63" s="58" t="str">
        <f>billid050&amp;""</f>
        <v/>
      </c>
      <c r="E63" s="58" t="str">
        <f>UPPER(SUBSTITUTE(番明[[#This Row],[ご請求番号]],"-",""))</f>
        <v/>
      </c>
      <c r="F63" s="58" t="str">
        <f>keiyakuid050&amp;""</f>
        <v/>
      </c>
      <c r="I63" t="str">
        <f>IF(accelikkatsu050="","希望しない",accelikkatsu050)</f>
        <v>希望しない</v>
      </c>
      <c r="J63" t="str">
        <f>IF(belugabunyn050="","なし",belugabunyn050)</f>
        <v>なし</v>
      </c>
      <c r="K63" s="59" t="str">
        <f>belugabun050&amp;""</f>
        <v/>
      </c>
      <c r="L63" t="b">
        <f>shutoku050</f>
        <v>0</v>
      </c>
    </row>
    <row r="64" spans="1:12">
      <c r="A64">
        <v>51</v>
      </c>
      <c r="C64" t="str">
        <f>shubetsu051&amp;""</f>
        <v/>
      </c>
      <c r="D64" s="58" t="str">
        <f>billid051&amp;""</f>
        <v/>
      </c>
      <c r="E64" s="58" t="str">
        <f>UPPER(SUBSTITUTE(番明[[#This Row],[ご請求番号]],"-",""))</f>
        <v/>
      </c>
      <c r="F64" s="58" t="str">
        <f>keiyakuid051&amp;""</f>
        <v/>
      </c>
      <c r="I64" t="str">
        <f>IF(accelikkatsu051="","希望しない",accelikkatsu051)</f>
        <v>希望しない</v>
      </c>
      <c r="J64" t="str">
        <f>IF(belugabunyn051="","なし",belugabunyn051)</f>
        <v>なし</v>
      </c>
      <c r="K64" s="59" t="str">
        <f>belugabun051&amp;""</f>
        <v/>
      </c>
      <c r="L64" t="b">
        <f>shutoku051</f>
        <v>0</v>
      </c>
    </row>
    <row r="65" spans="1:12">
      <c r="A65">
        <v>52</v>
      </c>
      <c r="C65" t="str">
        <f>shubetsu052&amp;""</f>
        <v/>
      </c>
      <c r="D65" s="58" t="str">
        <f>billid052&amp;""</f>
        <v/>
      </c>
      <c r="E65" s="58" t="str">
        <f>UPPER(SUBSTITUTE(番明[[#This Row],[ご請求番号]],"-",""))</f>
        <v/>
      </c>
      <c r="F65" s="58" t="str">
        <f>keiyakuid052&amp;""</f>
        <v/>
      </c>
      <c r="I65" t="str">
        <f>IF(accelikkatsu052="","希望しない",accelikkatsu052)</f>
        <v>希望しない</v>
      </c>
      <c r="J65" t="str">
        <f>IF(belugabunyn052="","なし",belugabunyn052)</f>
        <v>なし</v>
      </c>
      <c r="K65" s="59" t="str">
        <f>belugabun052&amp;""</f>
        <v/>
      </c>
      <c r="L65" t="b">
        <f>shutoku052</f>
        <v>0</v>
      </c>
    </row>
    <row r="66" spans="1:12">
      <c r="A66">
        <v>53</v>
      </c>
      <c r="C66" t="str">
        <f>shubetsu053&amp;""</f>
        <v/>
      </c>
      <c r="D66" s="58" t="str">
        <f>billid053&amp;""</f>
        <v/>
      </c>
      <c r="E66" s="58" t="str">
        <f>UPPER(SUBSTITUTE(番明[[#This Row],[ご請求番号]],"-",""))</f>
        <v/>
      </c>
      <c r="F66" s="58" t="str">
        <f>keiyakuid053&amp;""</f>
        <v/>
      </c>
      <c r="I66" t="str">
        <f>IF(accelikkatsu053="","希望しない",accelikkatsu053)</f>
        <v>希望しない</v>
      </c>
      <c r="J66" t="str">
        <f>IF(belugabunyn053="","なし",belugabunyn053)</f>
        <v>なし</v>
      </c>
      <c r="K66" s="59" t="str">
        <f>belugabun053&amp;""</f>
        <v/>
      </c>
      <c r="L66" t="b">
        <f>shutoku053</f>
        <v>0</v>
      </c>
    </row>
    <row r="67" spans="1:12">
      <c r="A67">
        <v>54</v>
      </c>
      <c r="C67" t="str">
        <f>shubetsu054&amp;""</f>
        <v/>
      </c>
      <c r="D67" s="58" t="str">
        <f>billid054&amp;""</f>
        <v/>
      </c>
      <c r="E67" s="58" t="str">
        <f>UPPER(SUBSTITUTE(番明[[#This Row],[ご請求番号]],"-",""))</f>
        <v/>
      </c>
      <c r="F67" s="58" t="str">
        <f>keiyakuid054&amp;""</f>
        <v/>
      </c>
      <c r="I67" t="str">
        <f>IF(accelikkatsu054="","希望しない",accelikkatsu054)</f>
        <v>希望しない</v>
      </c>
      <c r="J67" t="str">
        <f>IF(belugabunyn054="","なし",belugabunyn054)</f>
        <v>なし</v>
      </c>
      <c r="K67" s="59" t="str">
        <f>belugabun054&amp;""</f>
        <v/>
      </c>
      <c r="L67" t="b">
        <f>shutoku054</f>
        <v>0</v>
      </c>
    </row>
    <row r="68" spans="1:12">
      <c r="A68">
        <v>55</v>
      </c>
      <c r="C68" t="str">
        <f>shubetsu055&amp;""</f>
        <v/>
      </c>
      <c r="D68" s="58" t="str">
        <f>billid055&amp;""</f>
        <v/>
      </c>
      <c r="E68" s="58" t="str">
        <f>UPPER(SUBSTITUTE(番明[[#This Row],[ご請求番号]],"-",""))</f>
        <v/>
      </c>
      <c r="F68" s="58" t="str">
        <f>keiyakuid055&amp;""</f>
        <v/>
      </c>
      <c r="I68" t="str">
        <f>IF(accelikkatsu055="","希望しない",accelikkatsu055)</f>
        <v>希望しない</v>
      </c>
      <c r="J68" t="str">
        <f>IF(belugabunyn055="","なし",belugabunyn055)</f>
        <v>なし</v>
      </c>
      <c r="K68" s="59" t="str">
        <f>belugabun055&amp;""</f>
        <v/>
      </c>
      <c r="L68" t="b">
        <f>shutoku055</f>
        <v>0</v>
      </c>
    </row>
    <row r="69" spans="1:12">
      <c r="A69">
        <v>56</v>
      </c>
      <c r="C69" t="str">
        <f>shubetsu056&amp;""</f>
        <v/>
      </c>
      <c r="D69" s="58" t="str">
        <f>billid056&amp;""</f>
        <v/>
      </c>
      <c r="E69" s="58" t="str">
        <f>UPPER(SUBSTITUTE(番明[[#This Row],[ご請求番号]],"-",""))</f>
        <v/>
      </c>
      <c r="F69" s="58" t="str">
        <f>keiyakuid056&amp;""</f>
        <v/>
      </c>
      <c r="I69" t="str">
        <f>IF(accelikkatsu056="","希望しない",accelikkatsu056)</f>
        <v>希望しない</v>
      </c>
      <c r="J69" t="str">
        <f>IF(belugabunyn056="","なし",belugabunyn056)</f>
        <v>なし</v>
      </c>
      <c r="K69" s="59" t="str">
        <f>belugabun056&amp;""</f>
        <v/>
      </c>
      <c r="L69" t="b">
        <f>shutoku056</f>
        <v>0</v>
      </c>
    </row>
    <row r="70" spans="1:12">
      <c r="A70">
        <v>57</v>
      </c>
      <c r="C70" t="str">
        <f>shubetsu057&amp;""</f>
        <v/>
      </c>
      <c r="D70" s="58" t="str">
        <f>billid057&amp;""</f>
        <v/>
      </c>
      <c r="E70" s="58" t="str">
        <f>UPPER(SUBSTITUTE(番明[[#This Row],[ご請求番号]],"-",""))</f>
        <v/>
      </c>
      <c r="F70" s="58" t="str">
        <f>keiyakuid057&amp;""</f>
        <v/>
      </c>
      <c r="I70" t="str">
        <f>IF(accelikkatsu057="","希望しない",accelikkatsu057)</f>
        <v>希望しない</v>
      </c>
      <c r="J70" t="str">
        <f>IF(belugabunyn057="","なし",belugabunyn057)</f>
        <v>なし</v>
      </c>
      <c r="K70" s="59" t="str">
        <f>belugabun057&amp;""</f>
        <v/>
      </c>
      <c r="L70" t="b">
        <f>shutoku057</f>
        <v>0</v>
      </c>
    </row>
    <row r="71" spans="1:12">
      <c r="A71">
        <v>58</v>
      </c>
      <c r="C71" t="str">
        <f>shubetsu058&amp;""</f>
        <v/>
      </c>
      <c r="D71" s="58" t="str">
        <f>billid058&amp;""</f>
        <v/>
      </c>
      <c r="E71" s="58" t="str">
        <f>UPPER(SUBSTITUTE(番明[[#This Row],[ご請求番号]],"-",""))</f>
        <v/>
      </c>
      <c r="F71" s="58" t="str">
        <f>keiyakuid058&amp;""</f>
        <v/>
      </c>
      <c r="I71" t="str">
        <f>IF(accelikkatsu058="","希望しない",accelikkatsu058)</f>
        <v>希望しない</v>
      </c>
      <c r="J71" t="str">
        <f>IF(belugabunyn058="","なし",belugabunyn058)</f>
        <v>なし</v>
      </c>
      <c r="K71" s="59" t="str">
        <f>belugabun058&amp;""</f>
        <v/>
      </c>
      <c r="L71" t="b">
        <f>shutoku058</f>
        <v>0</v>
      </c>
    </row>
    <row r="72" spans="1:12">
      <c r="A72">
        <v>59</v>
      </c>
      <c r="C72" t="str">
        <f>shubetsu059&amp;""</f>
        <v/>
      </c>
      <c r="D72" s="58" t="str">
        <f>billid059&amp;""</f>
        <v/>
      </c>
      <c r="E72" s="58" t="str">
        <f>UPPER(SUBSTITUTE(番明[[#This Row],[ご請求番号]],"-",""))</f>
        <v/>
      </c>
      <c r="F72" s="58" t="str">
        <f>keiyakuid059&amp;""</f>
        <v/>
      </c>
      <c r="I72" t="str">
        <f>IF(accelikkatsu059="","希望しない",accelikkatsu059)</f>
        <v>希望しない</v>
      </c>
      <c r="J72" t="str">
        <f>IF(belugabunyn059="","なし",belugabunyn059)</f>
        <v>なし</v>
      </c>
      <c r="K72" s="59" t="str">
        <f>belugabun059&amp;""</f>
        <v/>
      </c>
      <c r="L72" t="b">
        <f>shutoku059</f>
        <v>0</v>
      </c>
    </row>
    <row r="73" spans="1:12">
      <c r="A73">
        <v>60</v>
      </c>
      <c r="C73" t="str">
        <f>shubetsu060&amp;""</f>
        <v/>
      </c>
      <c r="D73" s="58" t="str">
        <f>billid060&amp;""</f>
        <v/>
      </c>
      <c r="E73" s="58" t="str">
        <f>UPPER(SUBSTITUTE(番明[[#This Row],[ご請求番号]],"-",""))</f>
        <v/>
      </c>
      <c r="F73" s="58" t="str">
        <f>keiyakuid060&amp;""</f>
        <v/>
      </c>
      <c r="I73" t="str">
        <f>IF(accelikkatsu060="","希望しない",accelikkatsu060)</f>
        <v>希望しない</v>
      </c>
      <c r="J73" t="str">
        <f>IF(belugabunyn060="","なし",belugabunyn060)</f>
        <v>なし</v>
      </c>
      <c r="K73" s="59" t="str">
        <f>belugabun060&amp;""</f>
        <v/>
      </c>
      <c r="L73" t="b">
        <f>shutoku060</f>
        <v>0</v>
      </c>
    </row>
    <row r="74" spans="1:12">
      <c r="A74">
        <v>61</v>
      </c>
      <c r="C74" t="str">
        <f>shubetsu061&amp;""</f>
        <v/>
      </c>
      <c r="D74" s="58" t="str">
        <f>billid061&amp;""</f>
        <v/>
      </c>
      <c r="E74" s="58" t="str">
        <f>UPPER(SUBSTITUTE(番明[[#This Row],[ご請求番号]],"-",""))</f>
        <v/>
      </c>
      <c r="F74" s="58" t="str">
        <f>keiyakuid061&amp;""</f>
        <v/>
      </c>
      <c r="I74" t="str">
        <f>IF(accelikkatsu061="","希望しない",accelikkatsu061)</f>
        <v>希望しない</v>
      </c>
      <c r="J74" t="str">
        <f>IF(belugabunyn061="","なし",belugabunyn061)</f>
        <v>なし</v>
      </c>
      <c r="K74" s="59" t="str">
        <f>belugabun061&amp;""</f>
        <v/>
      </c>
      <c r="L74" t="b">
        <f>shutoku061</f>
        <v>0</v>
      </c>
    </row>
    <row r="75" spans="1:12">
      <c r="A75">
        <v>62</v>
      </c>
      <c r="C75" t="str">
        <f>shubetsu062&amp;""</f>
        <v/>
      </c>
      <c r="D75" s="58" t="str">
        <f>billid062&amp;""</f>
        <v/>
      </c>
      <c r="E75" s="58" t="str">
        <f>UPPER(SUBSTITUTE(番明[[#This Row],[ご請求番号]],"-",""))</f>
        <v/>
      </c>
      <c r="F75" s="58" t="str">
        <f>keiyakuid062&amp;""</f>
        <v/>
      </c>
      <c r="I75" t="str">
        <f>IF(accelikkatsu062="","希望しない",accelikkatsu062)</f>
        <v>希望しない</v>
      </c>
      <c r="J75" t="str">
        <f>IF(belugabunyn062="","なし",belugabunyn062)</f>
        <v>なし</v>
      </c>
      <c r="K75" s="59" t="str">
        <f>belugabun062&amp;""</f>
        <v/>
      </c>
      <c r="L75" t="b">
        <f>shutoku062</f>
        <v>0</v>
      </c>
    </row>
    <row r="76" spans="1:12">
      <c r="A76">
        <v>63</v>
      </c>
      <c r="C76" t="str">
        <f>shubetsu063&amp;""</f>
        <v/>
      </c>
      <c r="D76" s="58" t="str">
        <f>billid063&amp;""</f>
        <v/>
      </c>
      <c r="E76" s="58" t="str">
        <f>UPPER(SUBSTITUTE(番明[[#This Row],[ご請求番号]],"-",""))</f>
        <v/>
      </c>
      <c r="F76" s="58" t="str">
        <f>keiyakuid063&amp;""</f>
        <v/>
      </c>
      <c r="I76" t="str">
        <f>IF(accelikkatsu063="","希望しない",accelikkatsu063)</f>
        <v>希望しない</v>
      </c>
      <c r="J76" t="str">
        <f>IF(belugabunyn063="","なし",belugabunyn063)</f>
        <v>なし</v>
      </c>
      <c r="K76" s="59" t="str">
        <f>belugabun063&amp;""</f>
        <v/>
      </c>
      <c r="L76" t="b">
        <f>shutoku063</f>
        <v>0</v>
      </c>
    </row>
    <row r="77" spans="1:12">
      <c r="A77">
        <v>64</v>
      </c>
      <c r="C77" t="str">
        <f>shubetsu064&amp;""</f>
        <v/>
      </c>
      <c r="D77" s="58" t="str">
        <f>billid064&amp;""</f>
        <v/>
      </c>
      <c r="E77" s="58" t="str">
        <f>UPPER(SUBSTITUTE(番明[[#This Row],[ご請求番号]],"-",""))</f>
        <v/>
      </c>
      <c r="F77" s="58" t="str">
        <f>keiyakuid064&amp;""</f>
        <v/>
      </c>
      <c r="I77" t="str">
        <f>IF(accelikkatsu064="","希望しない",accelikkatsu064)</f>
        <v>希望しない</v>
      </c>
      <c r="J77" t="str">
        <f>IF(belugabunyn064="","なし",belugabunyn064)</f>
        <v>なし</v>
      </c>
      <c r="K77" s="59" t="str">
        <f>belugabun064&amp;""</f>
        <v/>
      </c>
      <c r="L77" t="b">
        <f>shutoku064</f>
        <v>0</v>
      </c>
    </row>
    <row r="78" spans="1:12">
      <c r="A78">
        <v>65</v>
      </c>
      <c r="C78" t="str">
        <f>shubetsu065&amp;""</f>
        <v/>
      </c>
      <c r="D78" s="58" t="str">
        <f>billid065&amp;""</f>
        <v/>
      </c>
      <c r="E78" s="58" t="str">
        <f>UPPER(SUBSTITUTE(番明[[#This Row],[ご請求番号]],"-",""))</f>
        <v/>
      </c>
      <c r="F78" s="58" t="str">
        <f>keiyakuid065&amp;""</f>
        <v/>
      </c>
      <c r="I78" t="str">
        <f>IF(accelikkatsu065="","希望しない",accelikkatsu065)</f>
        <v>希望しない</v>
      </c>
      <c r="J78" t="str">
        <f>IF(belugabunyn065="","なし",belugabunyn065)</f>
        <v>なし</v>
      </c>
      <c r="K78" s="59" t="str">
        <f>belugabun065&amp;""</f>
        <v/>
      </c>
      <c r="L78" t="b">
        <f>shutoku065</f>
        <v>0</v>
      </c>
    </row>
    <row r="79" spans="1:12">
      <c r="A79">
        <v>66</v>
      </c>
      <c r="C79" t="str">
        <f>shubetsu066&amp;""</f>
        <v/>
      </c>
      <c r="D79" s="58" t="str">
        <f>billid066&amp;""</f>
        <v/>
      </c>
      <c r="E79" s="58" t="str">
        <f>UPPER(SUBSTITUTE(番明[[#This Row],[ご請求番号]],"-",""))</f>
        <v/>
      </c>
      <c r="F79" s="58" t="str">
        <f>keiyakuid066&amp;""</f>
        <v/>
      </c>
      <c r="I79" t="str">
        <f>IF(accelikkatsu066="","希望しない",accelikkatsu066)</f>
        <v>希望しない</v>
      </c>
      <c r="J79" t="str">
        <f>IF(belugabunyn066="","なし",belugabunyn066)</f>
        <v>なし</v>
      </c>
      <c r="K79" s="59" t="str">
        <f>belugabun066&amp;""</f>
        <v/>
      </c>
      <c r="L79" t="b">
        <f>shutoku066</f>
        <v>0</v>
      </c>
    </row>
    <row r="80" spans="1:12">
      <c r="A80">
        <v>67</v>
      </c>
      <c r="C80" t="str">
        <f>shubetsu067&amp;""</f>
        <v/>
      </c>
      <c r="D80" s="58" t="str">
        <f>billid067&amp;""</f>
        <v/>
      </c>
      <c r="E80" s="58" t="str">
        <f>UPPER(SUBSTITUTE(番明[[#This Row],[ご請求番号]],"-",""))</f>
        <v/>
      </c>
      <c r="F80" s="58" t="str">
        <f>keiyakuid067&amp;""</f>
        <v/>
      </c>
      <c r="I80" t="str">
        <f>IF(accelikkatsu067="","希望しない",accelikkatsu067)</f>
        <v>希望しない</v>
      </c>
      <c r="J80" t="str">
        <f>IF(belugabunyn067="","なし",belugabunyn067)</f>
        <v>なし</v>
      </c>
      <c r="K80" s="59" t="str">
        <f>belugabun067&amp;""</f>
        <v/>
      </c>
      <c r="L80" t="b">
        <f>shutoku067</f>
        <v>0</v>
      </c>
    </row>
    <row r="81" spans="1:12">
      <c r="A81">
        <v>68</v>
      </c>
      <c r="C81" t="str">
        <f>shubetsu068&amp;""</f>
        <v/>
      </c>
      <c r="D81" s="58" t="str">
        <f>billid068&amp;""</f>
        <v/>
      </c>
      <c r="E81" s="58" t="str">
        <f>UPPER(SUBSTITUTE(番明[[#This Row],[ご請求番号]],"-",""))</f>
        <v/>
      </c>
      <c r="F81" s="58" t="str">
        <f>keiyakuid068&amp;""</f>
        <v/>
      </c>
      <c r="I81" t="str">
        <f>IF(accelikkatsu068="","希望しない",accelikkatsu068)</f>
        <v>希望しない</v>
      </c>
      <c r="J81" t="str">
        <f>IF(belugabunyn068="","なし",belugabunyn068)</f>
        <v>なし</v>
      </c>
      <c r="K81" s="59" t="str">
        <f>belugabun068&amp;""</f>
        <v/>
      </c>
      <c r="L81" t="b">
        <f>shutoku068</f>
        <v>0</v>
      </c>
    </row>
    <row r="82" spans="1:12">
      <c r="A82">
        <v>69</v>
      </c>
      <c r="C82" t="str">
        <f>shubetsu069&amp;""</f>
        <v/>
      </c>
      <c r="D82" s="58" t="str">
        <f>billid069&amp;""</f>
        <v/>
      </c>
      <c r="E82" s="58" t="str">
        <f>UPPER(SUBSTITUTE(番明[[#This Row],[ご請求番号]],"-",""))</f>
        <v/>
      </c>
      <c r="F82" s="58" t="str">
        <f>keiyakuid069&amp;""</f>
        <v/>
      </c>
      <c r="I82" t="str">
        <f>IF(accelikkatsu069="","希望しない",accelikkatsu069)</f>
        <v>希望しない</v>
      </c>
      <c r="J82" t="str">
        <f>IF(belugabunyn069="","なし",belugabunyn069)</f>
        <v>なし</v>
      </c>
      <c r="K82" s="59" t="str">
        <f>belugabun069&amp;""</f>
        <v/>
      </c>
      <c r="L82" t="b">
        <f>shutoku069</f>
        <v>0</v>
      </c>
    </row>
    <row r="83" spans="1:12">
      <c r="A83">
        <v>70</v>
      </c>
      <c r="C83" t="str">
        <f>shubetsu070&amp;""</f>
        <v/>
      </c>
      <c r="D83" s="58" t="str">
        <f>billid070&amp;""</f>
        <v/>
      </c>
      <c r="E83" s="58" t="str">
        <f>UPPER(SUBSTITUTE(番明[[#This Row],[ご請求番号]],"-",""))</f>
        <v/>
      </c>
      <c r="F83" s="58" t="str">
        <f>keiyakuid070&amp;""</f>
        <v/>
      </c>
      <c r="I83" t="str">
        <f>IF(accelikkatsu070="","希望しない",accelikkatsu070)</f>
        <v>希望しない</v>
      </c>
      <c r="J83" t="str">
        <f>IF(belugabunyn070="","なし",belugabunyn070)</f>
        <v>なし</v>
      </c>
      <c r="K83" s="59" t="str">
        <f>belugabun070&amp;""</f>
        <v/>
      </c>
      <c r="L83" t="b">
        <f>shutoku070</f>
        <v>0</v>
      </c>
    </row>
    <row r="84" spans="1:12">
      <c r="A84">
        <v>71</v>
      </c>
      <c r="C84" t="str">
        <f>shubetsu071&amp;""</f>
        <v/>
      </c>
      <c r="D84" s="58" t="str">
        <f>billid071&amp;""</f>
        <v/>
      </c>
      <c r="E84" s="58" t="str">
        <f>UPPER(SUBSTITUTE(番明[[#This Row],[ご請求番号]],"-",""))</f>
        <v/>
      </c>
      <c r="F84" s="58" t="str">
        <f>keiyakuid071&amp;""</f>
        <v/>
      </c>
      <c r="I84" t="str">
        <f>IF(accelikkatsu071="","希望しない",accelikkatsu071)</f>
        <v>希望しない</v>
      </c>
      <c r="J84" t="str">
        <f>IF(belugabunyn071="","なし",belugabunyn071)</f>
        <v>なし</v>
      </c>
      <c r="K84" s="59" t="str">
        <f>belugabun071&amp;""</f>
        <v/>
      </c>
      <c r="L84" t="b">
        <f>shutoku071</f>
        <v>0</v>
      </c>
    </row>
    <row r="85" spans="1:12">
      <c r="A85">
        <v>72</v>
      </c>
      <c r="C85" t="str">
        <f>shubetsu072&amp;""</f>
        <v/>
      </c>
      <c r="D85" s="58" t="str">
        <f>billid072&amp;""</f>
        <v/>
      </c>
      <c r="E85" s="58" t="str">
        <f>UPPER(SUBSTITUTE(番明[[#This Row],[ご請求番号]],"-",""))</f>
        <v/>
      </c>
      <c r="F85" s="58" t="str">
        <f>keiyakuid072&amp;""</f>
        <v/>
      </c>
      <c r="I85" t="str">
        <f>IF(accelikkatsu072="","希望しない",accelikkatsu072)</f>
        <v>希望しない</v>
      </c>
      <c r="J85" t="str">
        <f>IF(belugabunyn072="","なし",belugabunyn072)</f>
        <v>なし</v>
      </c>
      <c r="K85" s="59" t="str">
        <f>belugabun072&amp;""</f>
        <v/>
      </c>
      <c r="L85" t="b">
        <f>shutoku072</f>
        <v>0</v>
      </c>
    </row>
    <row r="86" spans="1:12">
      <c r="A86">
        <v>73</v>
      </c>
      <c r="C86" t="str">
        <f>shubetsu073&amp;""</f>
        <v/>
      </c>
      <c r="D86" s="58" t="str">
        <f>billid073&amp;""</f>
        <v/>
      </c>
      <c r="E86" s="58" t="str">
        <f>UPPER(SUBSTITUTE(番明[[#This Row],[ご請求番号]],"-",""))</f>
        <v/>
      </c>
      <c r="F86" s="58" t="str">
        <f>keiyakuid073&amp;""</f>
        <v/>
      </c>
      <c r="I86" t="str">
        <f>IF(accelikkatsu073="","希望しない",accelikkatsu073)</f>
        <v>希望しない</v>
      </c>
      <c r="J86" t="str">
        <f>IF(belugabunyn073="","なし",belugabunyn073)</f>
        <v>なし</v>
      </c>
      <c r="K86" s="59" t="str">
        <f>belugabun073&amp;""</f>
        <v/>
      </c>
      <c r="L86" t="b">
        <f>shutoku073</f>
        <v>0</v>
      </c>
    </row>
    <row r="87" spans="1:12">
      <c r="A87">
        <v>74</v>
      </c>
      <c r="C87" t="str">
        <f>shubetsu074&amp;""</f>
        <v/>
      </c>
      <c r="D87" s="58" t="str">
        <f>billid074&amp;""</f>
        <v/>
      </c>
      <c r="E87" s="58" t="str">
        <f>UPPER(SUBSTITUTE(番明[[#This Row],[ご請求番号]],"-",""))</f>
        <v/>
      </c>
      <c r="F87" s="58" t="str">
        <f>keiyakuid074&amp;""</f>
        <v/>
      </c>
      <c r="I87" t="str">
        <f>IF(accelikkatsu074="","希望しない",accelikkatsu074)</f>
        <v>希望しない</v>
      </c>
      <c r="J87" t="str">
        <f>IF(belugabunyn074="","なし",belugabunyn074)</f>
        <v>なし</v>
      </c>
      <c r="K87" s="59" t="str">
        <f>belugabun074&amp;""</f>
        <v/>
      </c>
      <c r="L87" t="b">
        <f>shutoku074</f>
        <v>0</v>
      </c>
    </row>
    <row r="88" spans="1:12">
      <c r="A88">
        <v>75</v>
      </c>
      <c r="C88" t="str">
        <f>shubetsu075&amp;""</f>
        <v/>
      </c>
      <c r="D88" s="58" t="str">
        <f>billid075&amp;""</f>
        <v/>
      </c>
      <c r="E88" s="58" t="str">
        <f>UPPER(SUBSTITUTE(番明[[#This Row],[ご請求番号]],"-",""))</f>
        <v/>
      </c>
      <c r="F88" s="58" t="str">
        <f>keiyakuid075&amp;""</f>
        <v/>
      </c>
      <c r="I88" t="str">
        <f>IF(accelikkatsu075="","希望しない",accelikkatsu075)</f>
        <v>希望しない</v>
      </c>
      <c r="J88" t="str">
        <f>IF(belugabunyn075="","なし",belugabunyn075)</f>
        <v>なし</v>
      </c>
      <c r="K88" s="59" t="str">
        <f>belugabun075&amp;""</f>
        <v/>
      </c>
      <c r="L88" t="b">
        <f>shutoku075</f>
        <v>0</v>
      </c>
    </row>
    <row r="89" spans="1:12">
      <c r="A89">
        <v>76</v>
      </c>
      <c r="C89" t="str">
        <f>shubetsu076&amp;""</f>
        <v/>
      </c>
      <c r="D89" s="58" t="str">
        <f>billid076&amp;""</f>
        <v/>
      </c>
      <c r="E89" s="58" t="str">
        <f>UPPER(SUBSTITUTE(番明[[#This Row],[ご請求番号]],"-",""))</f>
        <v/>
      </c>
      <c r="F89" s="58" t="str">
        <f>keiyakuid076&amp;""</f>
        <v/>
      </c>
      <c r="I89" t="str">
        <f>IF(accelikkatsu076="","希望しない",accelikkatsu076)</f>
        <v>希望しない</v>
      </c>
      <c r="J89" t="str">
        <f>IF(belugabunyn076="","なし",belugabunyn076)</f>
        <v>なし</v>
      </c>
      <c r="K89" s="59" t="str">
        <f>belugabun076&amp;""</f>
        <v/>
      </c>
      <c r="L89" t="b">
        <f>shutoku076</f>
        <v>0</v>
      </c>
    </row>
    <row r="90" spans="1:12">
      <c r="A90">
        <v>77</v>
      </c>
      <c r="C90" t="str">
        <f>shubetsu077&amp;""</f>
        <v/>
      </c>
      <c r="D90" s="58" t="str">
        <f>billid077&amp;""</f>
        <v/>
      </c>
      <c r="E90" s="58" t="str">
        <f>UPPER(SUBSTITUTE(番明[[#This Row],[ご請求番号]],"-",""))</f>
        <v/>
      </c>
      <c r="F90" s="58" t="str">
        <f>keiyakuid077&amp;""</f>
        <v/>
      </c>
      <c r="I90" t="str">
        <f>IF(accelikkatsu077="","希望しない",accelikkatsu077)</f>
        <v>希望しない</v>
      </c>
      <c r="J90" t="str">
        <f>IF(belugabunyn077="","なし",belugabunyn077)</f>
        <v>なし</v>
      </c>
      <c r="K90" s="59" t="str">
        <f>belugabun077&amp;""</f>
        <v/>
      </c>
      <c r="L90" t="b">
        <f>shutoku077</f>
        <v>0</v>
      </c>
    </row>
    <row r="91" spans="1:12">
      <c r="A91">
        <v>78</v>
      </c>
      <c r="C91" t="str">
        <f>shubetsu078&amp;""</f>
        <v/>
      </c>
      <c r="D91" s="58" t="str">
        <f>billid078&amp;""</f>
        <v/>
      </c>
      <c r="E91" s="58" t="str">
        <f>UPPER(SUBSTITUTE(番明[[#This Row],[ご請求番号]],"-",""))</f>
        <v/>
      </c>
      <c r="F91" s="58" t="str">
        <f>keiyakuid078&amp;""</f>
        <v/>
      </c>
      <c r="I91" t="str">
        <f>IF(accelikkatsu078="","希望しない",accelikkatsu078)</f>
        <v>希望しない</v>
      </c>
      <c r="J91" t="str">
        <f>IF(belugabunyn078="","なし",belugabunyn078)</f>
        <v>なし</v>
      </c>
      <c r="K91" s="59" t="str">
        <f>belugabun078&amp;""</f>
        <v/>
      </c>
      <c r="L91" t="b">
        <f>shutoku078</f>
        <v>0</v>
      </c>
    </row>
    <row r="92" spans="1:12">
      <c r="A92">
        <v>79</v>
      </c>
      <c r="C92" t="str">
        <f>shubetsu079&amp;""</f>
        <v/>
      </c>
      <c r="D92" s="58" t="str">
        <f>billid079&amp;""</f>
        <v/>
      </c>
      <c r="E92" s="58" t="str">
        <f>UPPER(SUBSTITUTE(番明[[#This Row],[ご請求番号]],"-",""))</f>
        <v/>
      </c>
      <c r="F92" s="58" t="str">
        <f>keiyakuid079&amp;""</f>
        <v/>
      </c>
      <c r="I92" t="str">
        <f>IF(accelikkatsu079="","希望しない",accelikkatsu079)</f>
        <v>希望しない</v>
      </c>
      <c r="J92" t="str">
        <f>IF(belugabunyn079="","なし",belugabunyn079)</f>
        <v>なし</v>
      </c>
      <c r="K92" s="59" t="str">
        <f>belugabun079&amp;""</f>
        <v/>
      </c>
      <c r="L92" t="b">
        <f>shutoku079</f>
        <v>0</v>
      </c>
    </row>
    <row r="93" spans="1:12">
      <c r="A93">
        <v>80</v>
      </c>
      <c r="C93" t="str">
        <f>shubetsu080&amp;""</f>
        <v/>
      </c>
      <c r="D93" s="58" t="str">
        <f>billid080&amp;""</f>
        <v/>
      </c>
      <c r="E93" s="58" t="str">
        <f>UPPER(SUBSTITUTE(番明[[#This Row],[ご請求番号]],"-",""))</f>
        <v/>
      </c>
      <c r="F93" s="58" t="str">
        <f>keiyakuid080&amp;""</f>
        <v/>
      </c>
      <c r="I93" t="str">
        <f>IF(accelikkatsu080="","希望しない",accelikkatsu080)</f>
        <v>希望しない</v>
      </c>
      <c r="J93" t="str">
        <f>IF(belugabunyn080="","なし",belugabunyn080)</f>
        <v>なし</v>
      </c>
      <c r="K93" s="59" t="str">
        <f>belugabun080&amp;""</f>
        <v/>
      </c>
      <c r="L93" t="b">
        <f>shutoku080</f>
        <v>0</v>
      </c>
    </row>
    <row r="94" spans="1:12">
      <c r="A94">
        <v>81</v>
      </c>
      <c r="C94" t="str">
        <f>shubetsu081&amp;""</f>
        <v/>
      </c>
      <c r="D94" s="58" t="str">
        <f>billid081&amp;""</f>
        <v/>
      </c>
      <c r="E94" s="58" t="str">
        <f>UPPER(SUBSTITUTE(番明[[#This Row],[ご請求番号]],"-",""))</f>
        <v/>
      </c>
      <c r="F94" s="58" t="str">
        <f>keiyakuid081&amp;""</f>
        <v/>
      </c>
      <c r="I94" t="str">
        <f>IF(accelikkatsu081="","希望しない",accelikkatsu081)</f>
        <v>希望しない</v>
      </c>
      <c r="J94" t="str">
        <f>IF(belugabunyn081="","なし",belugabunyn081)</f>
        <v>なし</v>
      </c>
      <c r="K94" s="59" t="str">
        <f>belugabun081&amp;""</f>
        <v/>
      </c>
      <c r="L94" t="b">
        <f>shutoku081</f>
        <v>0</v>
      </c>
    </row>
    <row r="95" spans="1:12">
      <c r="A95">
        <v>82</v>
      </c>
      <c r="C95" t="str">
        <f>shubetsu082&amp;""</f>
        <v/>
      </c>
      <c r="D95" s="58" t="str">
        <f>billid082&amp;""</f>
        <v/>
      </c>
      <c r="E95" s="58" t="str">
        <f>UPPER(SUBSTITUTE(番明[[#This Row],[ご請求番号]],"-",""))</f>
        <v/>
      </c>
      <c r="F95" s="58" t="str">
        <f>keiyakuid082&amp;""</f>
        <v/>
      </c>
      <c r="I95" t="str">
        <f>IF(accelikkatsu082="","希望しない",accelikkatsu082)</f>
        <v>希望しない</v>
      </c>
      <c r="J95" t="str">
        <f>IF(belugabunyn082="","なし",belugabunyn082)</f>
        <v>なし</v>
      </c>
      <c r="K95" s="59" t="str">
        <f>belugabun082&amp;""</f>
        <v/>
      </c>
      <c r="L95" t="b">
        <f>shutoku082</f>
        <v>0</v>
      </c>
    </row>
    <row r="96" spans="1:12">
      <c r="A96">
        <v>83</v>
      </c>
      <c r="C96" t="str">
        <f>shubetsu083&amp;""</f>
        <v/>
      </c>
      <c r="D96" s="58" t="str">
        <f>billid083&amp;""</f>
        <v/>
      </c>
      <c r="E96" s="58" t="str">
        <f>UPPER(SUBSTITUTE(番明[[#This Row],[ご請求番号]],"-",""))</f>
        <v/>
      </c>
      <c r="F96" s="58" t="str">
        <f>keiyakuid083&amp;""</f>
        <v/>
      </c>
      <c r="I96" t="str">
        <f>IF(accelikkatsu083="","希望しない",accelikkatsu083)</f>
        <v>希望しない</v>
      </c>
      <c r="J96" t="str">
        <f>IF(belugabunyn083="","なし",belugabunyn083)</f>
        <v>なし</v>
      </c>
      <c r="K96" s="59" t="str">
        <f>belugabun083&amp;""</f>
        <v/>
      </c>
      <c r="L96" t="b">
        <f>shutoku083</f>
        <v>0</v>
      </c>
    </row>
    <row r="97" spans="1:12">
      <c r="A97">
        <v>84</v>
      </c>
      <c r="C97" t="str">
        <f>shubetsu084&amp;""</f>
        <v/>
      </c>
      <c r="D97" s="58" t="str">
        <f>billid084&amp;""</f>
        <v/>
      </c>
      <c r="E97" s="58" t="str">
        <f>UPPER(SUBSTITUTE(番明[[#This Row],[ご請求番号]],"-",""))</f>
        <v/>
      </c>
      <c r="F97" s="58" t="str">
        <f>keiyakuid084&amp;""</f>
        <v/>
      </c>
      <c r="I97" t="str">
        <f>IF(accelikkatsu084="","希望しない",accelikkatsu084)</f>
        <v>希望しない</v>
      </c>
      <c r="J97" t="str">
        <f>IF(belugabunyn084="","なし",belugabunyn084)</f>
        <v>なし</v>
      </c>
      <c r="K97" s="59" t="str">
        <f>belugabun084&amp;""</f>
        <v/>
      </c>
      <c r="L97" t="b">
        <f>shutoku084</f>
        <v>0</v>
      </c>
    </row>
    <row r="98" spans="1:12">
      <c r="A98">
        <v>85</v>
      </c>
      <c r="C98" t="str">
        <f>shubetsu085&amp;""</f>
        <v/>
      </c>
      <c r="D98" s="58" t="str">
        <f>billid085&amp;""</f>
        <v/>
      </c>
      <c r="E98" s="58" t="str">
        <f>UPPER(SUBSTITUTE(番明[[#This Row],[ご請求番号]],"-",""))</f>
        <v/>
      </c>
      <c r="F98" s="58" t="str">
        <f>keiyakuid085&amp;""</f>
        <v/>
      </c>
      <c r="I98" t="str">
        <f>IF(accelikkatsu085="","希望しない",accelikkatsu085)</f>
        <v>希望しない</v>
      </c>
      <c r="J98" t="str">
        <f>IF(belugabunyn085="","なし",belugabunyn085)</f>
        <v>なし</v>
      </c>
      <c r="K98" s="59" t="str">
        <f>belugabun085&amp;""</f>
        <v/>
      </c>
      <c r="L98" t="b">
        <f>shutoku085</f>
        <v>0</v>
      </c>
    </row>
    <row r="99" spans="1:12">
      <c r="A99">
        <v>86</v>
      </c>
      <c r="C99" t="str">
        <f>shubetsu086&amp;""</f>
        <v/>
      </c>
      <c r="D99" s="58" t="str">
        <f>billid086&amp;""</f>
        <v/>
      </c>
      <c r="E99" s="58" t="str">
        <f>UPPER(SUBSTITUTE(番明[[#This Row],[ご請求番号]],"-",""))</f>
        <v/>
      </c>
      <c r="F99" s="58" t="str">
        <f>keiyakuid086&amp;""</f>
        <v/>
      </c>
      <c r="I99" t="str">
        <f>IF(accelikkatsu086="","希望しない",accelikkatsu086)</f>
        <v>希望しない</v>
      </c>
      <c r="J99" t="str">
        <f>IF(belugabunyn086="","なし",belugabunyn086)</f>
        <v>なし</v>
      </c>
      <c r="K99" s="59" t="str">
        <f>belugabun086&amp;""</f>
        <v/>
      </c>
      <c r="L99" t="b">
        <f>shutoku086</f>
        <v>0</v>
      </c>
    </row>
    <row r="100" spans="1:12">
      <c r="A100">
        <v>87</v>
      </c>
      <c r="C100" t="str">
        <f>shubetsu087&amp;""</f>
        <v/>
      </c>
      <c r="D100" s="58" t="str">
        <f>billid087&amp;""</f>
        <v/>
      </c>
      <c r="E100" s="58" t="str">
        <f>UPPER(SUBSTITUTE(番明[[#This Row],[ご請求番号]],"-",""))</f>
        <v/>
      </c>
      <c r="F100" s="58" t="str">
        <f>keiyakuid087&amp;""</f>
        <v/>
      </c>
      <c r="I100" t="str">
        <f>IF(accelikkatsu087="","希望しない",accelikkatsu087)</f>
        <v>希望しない</v>
      </c>
      <c r="J100" t="str">
        <f>IF(belugabunyn087="","なし",belugabunyn087)</f>
        <v>なし</v>
      </c>
      <c r="K100" s="59" t="str">
        <f>belugabun087&amp;""</f>
        <v/>
      </c>
      <c r="L100" t="b">
        <f>shutoku087</f>
        <v>0</v>
      </c>
    </row>
    <row r="101" spans="1:12">
      <c r="A101">
        <v>88</v>
      </c>
      <c r="C101" t="str">
        <f>shubetsu088&amp;""</f>
        <v/>
      </c>
      <c r="D101" s="58" t="str">
        <f>billid088&amp;""</f>
        <v/>
      </c>
      <c r="E101" s="58" t="str">
        <f>UPPER(SUBSTITUTE(番明[[#This Row],[ご請求番号]],"-",""))</f>
        <v/>
      </c>
      <c r="F101" s="58" t="str">
        <f>keiyakuid088&amp;""</f>
        <v/>
      </c>
      <c r="I101" t="str">
        <f>IF(accelikkatsu088="","希望しない",accelikkatsu088)</f>
        <v>希望しない</v>
      </c>
      <c r="J101" t="str">
        <f>IF(belugabunyn088="","なし",belugabunyn088)</f>
        <v>なし</v>
      </c>
      <c r="K101" s="59" t="str">
        <f>belugabun088&amp;""</f>
        <v/>
      </c>
      <c r="L101" t="b">
        <f>shutoku088</f>
        <v>0</v>
      </c>
    </row>
    <row r="102" spans="1:12">
      <c r="A102">
        <v>89</v>
      </c>
      <c r="C102" t="str">
        <f>shubetsu089&amp;""</f>
        <v/>
      </c>
      <c r="D102" s="58" t="str">
        <f>billid089&amp;""</f>
        <v/>
      </c>
      <c r="E102" s="58" t="str">
        <f>UPPER(SUBSTITUTE(番明[[#This Row],[ご請求番号]],"-",""))</f>
        <v/>
      </c>
      <c r="F102" s="58" t="str">
        <f>keiyakuid089&amp;""</f>
        <v/>
      </c>
      <c r="I102" t="str">
        <f>IF(accelikkatsu089="","希望しない",accelikkatsu089)</f>
        <v>希望しない</v>
      </c>
      <c r="J102" t="str">
        <f>IF(belugabunyn089="","なし",belugabunyn089)</f>
        <v>なし</v>
      </c>
      <c r="K102" s="59" t="str">
        <f>belugabun089&amp;""</f>
        <v/>
      </c>
      <c r="L102" t="b">
        <f>shutoku089</f>
        <v>0</v>
      </c>
    </row>
    <row r="103" spans="1:12">
      <c r="A103">
        <v>90</v>
      </c>
      <c r="C103" t="str">
        <f>shubetsu090&amp;""</f>
        <v/>
      </c>
      <c r="D103" s="58" t="str">
        <f>billid090&amp;""</f>
        <v/>
      </c>
      <c r="E103" s="58" t="str">
        <f>UPPER(SUBSTITUTE(番明[[#This Row],[ご請求番号]],"-",""))</f>
        <v/>
      </c>
      <c r="F103" s="58" t="str">
        <f>keiyakuid090&amp;""</f>
        <v/>
      </c>
      <c r="I103" t="str">
        <f>IF(accelikkatsu090="","希望しない",accelikkatsu090)</f>
        <v>希望しない</v>
      </c>
      <c r="J103" t="str">
        <f>IF(belugabunyn090="","なし",belugabunyn090)</f>
        <v>なし</v>
      </c>
      <c r="K103" s="59" t="str">
        <f>belugabun090&amp;""</f>
        <v/>
      </c>
      <c r="L103" t="b">
        <f>shutoku090</f>
        <v>0</v>
      </c>
    </row>
    <row r="104" spans="1:12">
      <c r="A104">
        <v>91</v>
      </c>
      <c r="C104" t="str">
        <f>shubetsu091&amp;""</f>
        <v/>
      </c>
      <c r="D104" s="58" t="str">
        <f>billid091&amp;""</f>
        <v/>
      </c>
      <c r="E104" s="58" t="str">
        <f>UPPER(SUBSTITUTE(番明[[#This Row],[ご請求番号]],"-",""))</f>
        <v/>
      </c>
      <c r="F104" s="58" t="str">
        <f>keiyakuid091&amp;""</f>
        <v/>
      </c>
      <c r="I104" t="str">
        <f>IF(accelikkatsu091="","希望しない",accelikkatsu091)</f>
        <v>希望しない</v>
      </c>
      <c r="J104" t="str">
        <f>IF(belugabunyn091="","なし",belugabunyn091)</f>
        <v>なし</v>
      </c>
      <c r="K104" s="59" t="str">
        <f>belugabun091&amp;""</f>
        <v/>
      </c>
      <c r="L104" t="b">
        <f>shutoku091</f>
        <v>0</v>
      </c>
    </row>
    <row r="105" spans="1:12">
      <c r="A105">
        <v>92</v>
      </c>
      <c r="C105" t="str">
        <f>shubetsu092&amp;""</f>
        <v/>
      </c>
      <c r="D105" s="58" t="str">
        <f>billid092&amp;""</f>
        <v/>
      </c>
      <c r="E105" s="58" t="str">
        <f>UPPER(SUBSTITUTE(番明[[#This Row],[ご請求番号]],"-",""))</f>
        <v/>
      </c>
      <c r="F105" s="58" t="str">
        <f>keiyakuid092&amp;""</f>
        <v/>
      </c>
      <c r="I105" t="str">
        <f>IF(accelikkatsu092="","希望しない",accelikkatsu092)</f>
        <v>希望しない</v>
      </c>
      <c r="J105" t="str">
        <f>IF(belugabunyn092="","なし",belugabunyn092)</f>
        <v>なし</v>
      </c>
      <c r="K105" s="59" t="str">
        <f>belugabun092&amp;""</f>
        <v/>
      </c>
      <c r="L105" t="b">
        <f>shutoku092</f>
        <v>0</v>
      </c>
    </row>
    <row r="106" spans="1:12">
      <c r="A106">
        <v>93</v>
      </c>
      <c r="C106" t="str">
        <f>shubetsu093&amp;""</f>
        <v/>
      </c>
      <c r="D106" s="58" t="str">
        <f>billid093&amp;""</f>
        <v/>
      </c>
      <c r="E106" s="58" t="str">
        <f>UPPER(SUBSTITUTE(番明[[#This Row],[ご請求番号]],"-",""))</f>
        <v/>
      </c>
      <c r="F106" s="58" t="str">
        <f>keiyakuid093&amp;""</f>
        <v/>
      </c>
      <c r="I106" t="str">
        <f>IF(accelikkatsu093="","希望しない",accelikkatsu093)</f>
        <v>希望しない</v>
      </c>
      <c r="J106" t="str">
        <f>IF(belugabunyn093="","なし",belugabunyn093)</f>
        <v>なし</v>
      </c>
      <c r="K106" s="59" t="str">
        <f>belugabun093&amp;""</f>
        <v/>
      </c>
      <c r="L106" t="b">
        <f>shutoku093</f>
        <v>0</v>
      </c>
    </row>
    <row r="107" spans="1:12">
      <c r="A107">
        <v>94</v>
      </c>
      <c r="C107" t="str">
        <f>shubetsu094&amp;""</f>
        <v/>
      </c>
      <c r="D107" s="58" t="str">
        <f>billid094&amp;""</f>
        <v/>
      </c>
      <c r="E107" s="58" t="str">
        <f>UPPER(SUBSTITUTE(番明[[#This Row],[ご請求番号]],"-",""))</f>
        <v/>
      </c>
      <c r="F107" s="58" t="str">
        <f>keiyakuid094&amp;""</f>
        <v/>
      </c>
      <c r="I107" t="str">
        <f>IF(accelikkatsu094="","希望しない",accelikkatsu094)</f>
        <v>希望しない</v>
      </c>
      <c r="J107" t="str">
        <f>IF(belugabunyn094="","なし",belugabunyn094)</f>
        <v>なし</v>
      </c>
      <c r="K107" s="59" t="str">
        <f>belugabun094&amp;""</f>
        <v/>
      </c>
      <c r="L107" t="b">
        <f>shutoku094</f>
        <v>0</v>
      </c>
    </row>
    <row r="108" spans="1:12">
      <c r="A108">
        <v>95</v>
      </c>
      <c r="C108" t="str">
        <f>shubetsu095&amp;""</f>
        <v/>
      </c>
      <c r="D108" s="58" t="str">
        <f>billid095&amp;""</f>
        <v/>
      </c>
      <c r="E108" s="58" t="str">
        <f>UPPER(SUBSTITUTE(番明[[#This Row],[ご請求番号]],"-",""))</f>
        <v/>
      </c>
      <c r="F108" s="58" t="str">
        <f>keiyakuid095&amp;""</f>
        <v/>
      </c>
      <c r="I108" t="str">
        <f>IF(accelikkatsu095="","希望しない",accelikkatsu095)</f>
        <v>希望しない</v>
      </c>
      <c r="J108" t="str">
        <f>IF(belugabunyn095="","なし",belugabunyn095)</f>
        <v>なし</v>
      </c>
      <c r="K108" s="59" t="str">
        <f>belugabun095&amp;""</f>
        <v/>
      </c>
      <c r="L108" t="b">
        <f>shutoku095</f>
        <v>0</v>
      </c>
    </row>
    <row r="109" spans="1:12">
      <c r="A109">
        <v>96</v>
      </c>
      <c r="C109" t="str">
        <f>shubetsu096&amp;""</f>
        <v/>
      </c>
      <c r="D109" s="58" t="str">
        <f>billid096&amp;""</f>
        <v/>
      </c>
      <c r="E109" s="58" t="str">
        <f>UPPER(SUBSTITUTE(番明[[#This Row],[ご請求番号]],"-",""))</f>
        <v/>
      </c>
      <c r="F109" s="58" t="str">
        <f>keiyakuid096&amp;""</f>
        <v/>
      </c>
      <c r="I109" t="str">
        <f>IF(accelikkatsu096="","希望しない",accelikkatsu096)</f>
        <v>希望しない</v>
      </c>
      <c r="J109" t="str">
        <f>IF(belugabunyn096="","なし",belugabunyn096)</f>
        <v>なし</v>
      </c>
      <c r="K109" s="59" t="str">
        <f>belugabun096&amp;""</f>
        <v/>
      </c>
      <c r="L109" t="b">
        <f>shutoku096</f>
        <v>0</v>
      </c>
    </row>
    <row r="110" spans="1:12">
      <c r="A110">
        <v>97</v>
      </c>
      <c r="C110" t="str">
        <f>shubetsu097&amp;""</f>
        <v/>
      </c>
      <c r="D110" s="58" t="str">
        <f>billid097&amp;""</f>
        <v/>
      </c>
      <c r="E110" s="58" t="str">
        <f>UPPER(SUBSTITUTE(番明[[#This Row],[ご請求番号]],"-",""))</f>
        <v/>
      </c>
      <c r="F110" s="58" t="str">
        <f>keiyakuid097&amp;""</f>
        <v/>
      </c>
      <c r="I110" t="str">
        <f>IF(accelikkatsu097="","希望しない",accelikkatsu097)</f>
        <v>希望しない</v>
      </c>
      <c r="J110" t="str">
        <f>IF(belugabunyn097="","なし",belugabunyn097)</f>
        <v>なし</v>
      </c>
      <c r="K110" s="59" t="str">
        <f>belugabun097&amp;""</f>
        <v/>
      </c>
      <c r="L110" t="b">
        <f>shutoku097</f>
        <v>0</v>
      </c>
    </row>
    <row r="111" spans="1:12">
      <c r="A111">
        <v>98</v>
      </c>
      <c r="C111" t="str">
        <f>shubetsu098&amp;""</f>
        <v/>
      </c>
      <c r="D111" s="58" t="str">
        <f>billid098&amp;""</f>
        <v/>
      </c>
      <c r="E111" s="58" t="str">
        <f>UPPER(SUBSTITUTE(番明[[#This Row],[ご請求番号]],"-",""))</f>
        <v/>
      </c>
      <c r="F111" s="58" t="str">
        <f>keiyakuid098&amp;""</f>
        <v/>
      </c>
      <c r="I111" t="str">
        <f>IF(accelikkatsu098="","希望しない",accelikkatsu098)</f>
        <v>希望しない</v>
      </c>
      <c r="J111" t="str">
        <f>IF(belugabunyn098="","なし",belugabunyn098)</f>
        <v>なし</v>
      </c>
      <c r="K111" s="59" t="str">
        <f>belugabun098&amp;""</f>
        <v/>
      </c>
      <c r="L111" t="b">
        <f>shutoku098</f>
        <v>0</v>
      </c>
    </row>
    <row r="112" spans="1:12">
      <c r="A112">
        <v>99</v>
      </c>
      <c r="C112" t="str">
        <f>shubetsu099&amp;""</f>
        <v/>
      </c>
      <c r="D112" s="58" t="str">
        <f>billid099&amp;""</f>
        <v/>
      </c>
      <c r="E112" s="58" t="str">
        <f>UPPER(SUBSTITUTE(番明[[#This Row],[ご請求番号]],"-",""))</f>
        <v/>
      </c>
      <c r="F112" s="58" t="str">
        <f>keiyakuid099&amp;""</f>
        <v/>
      </c>
      <c r="I112" t="str">
        <f>IF(accelikkatsu099="","希望しない",accelikkatsu099)</f>
        <v>希望しない</v>
      </c>
      <c r="J112" t="str">
        <f>IF(belugabunyn099="","なし",belugabunyn099)</f>
        <v>なし</v>
      </c>
      <c r="K112" s="59" t="str">
        <f>belugabun099&amp;""</f>
        <v/>
      </c>
      <c r="L112" t="b">
        <f>shutoku099</f>
        <v>0</v>
      </c>
    </row>
    <row r="113" spans="1:12">
      <c r="A113">
        <v>100</v>
      </c>
      <c r="C113" t="str">
        <f>shubetsu100&amp;""</f>
        <v/>
      </c>
      <c r="D113" s="58" t="str">
        <f>billid100&amp;""</f>
        <v/>
      </c>
      <c r="E113" s="58" t="str">
        <f>UPPER(SUBSTITUTE(番明[[#This Row],[ご請求番号]],"-",""))</f>
        <v/>
      </c>
      <c r="F113" s="58" t="str">
        <f>keiyakuid100&amp;""</f>
        <v/>
      </c>
      <c r="I113" t="str">
        <f>IF(accelikkatsu100="","希望しない",accelikkatsu100)</f>
        <v>希望しない</v>
      </c>
      <c r="J113" t="str">
        <f>IF(belugabunyn100="","なし",belugabunyn100)</f>
        <v>なし</v>
      </c>
      <c r="K113" s="59" t="str">
        <f>belugabun100&amp;""</f>
        <v/>
      </c>
      <c r="L113" t="b">
        <f>shutoku100</f>
        <v>0</v>
      </c>
    </row>
    <row r="114" spans="1:12">
      <c r="A114">
        <v>101</v>
      </c>
      <c r="C114" t="str">
        <f>shubetsu101&amp;""</f>
        <v/>
      </c>
      <c r="D114" s="58" t="str">
        <f>billid101&amp;""</f>
        <v/>
      </c>
      <c r="E114" s="58" t="str">
        <f>UPPER(SUBSTITUTE(番明[[#This Row],[ご請求番号]],"-",""))</f>
        <v/>
      </c>
      <c r="F114" s="58" t="str">
        <f>keiyakuid101&amp;""</f>
        <v/>
      </c>
      <c r="I114" t="str">
        <f>IF(accelikkatsu101="","希望しない",accelikkatsu101)</f>
        <v>希望しない</v>
      </c>
      <c r="J114" t="str">
        <f>IF(belugabunyn101="","なし",belugabunyn101)</f>
        <v>なし</v>
      </c>
      <c r="K114" s="59" t="str">
        <f>belugabun101&amp;""</f>
        <v/>
      </c>
      <c r="L114" t="b">
        <f>shutoku101</f>
        <v>0</v>
      </c>
    </row>
    <row r="115" spans="1:12">
      <c r="A115">
        <v>102</v>
      </c>
      <c r="C115" t="str">
        <f>shubetsu102&amp;""</f>
        <v/>
      </c>
      <c r="D115" s="58" t="str">
        <f>billid102&amp;""</f>
        <v/>
      </c>
      <c r="E115" s="58" t="str">
        <f>UPPER(SUBSTITUTE(番明[[#This Row],[ご請求番号]],"-",""))</f>
        <v/>
      </c>
      <c r="F115" s="58" t="str">
        <f>keiyakuid102&amp;""</f>
        <v/>
      </c>
      <c r="I115" t="str">
        <f>IF(accelikkatsu102="","希望しない",accelikkatsu102)</f>
        <v>希望しない</v>
      </c>
      <c r="J115" t="str">
        <f>IF(belugabunyn102="","なし",belugabunyn102)</f>
        <v>なし</v>
      </c>
      <c r="K115" s="59" t="str">
        <f>belugabun102&amp;""</f>
        <v/>
      </c>
      <c r="L115" t="b">
        <f>shutoku102</f>
        <v>0</v>
      </c>
    </row>
    <row r="116" spans="1:12">
      <c r="A116">
        <v>103</v>
      </c>
      <c r="C116" t="str">
        <f>shubetsu103&amp;""</f>
        <v/>
      </c>
      <c r="D116" s="58" t="str">
        <f>billid103&amp;""</f>
        <v/>
      </c>
      <c r="E116" s="58" t="str">
        <f>UPPER(SUBSTITUTE(番明[[#This Row],[ご請求番号]],"-",""))</f>
        <v/>
      </c>
      <c r="F116" s="58" t="str">
        <f>keiyakuid103&amp;""</f>
        <v/>
      </c>
      <c r="I116" t="str">
        <f>IF(accelikkatsu103="","希望しない",accelikkatsu103)</f>
        <v>希望しない</v>
      </c>
      <c r="J116" t="str">
        <f>IF(belugabunyn103="","なし",belugabunyn103)</f>
        <v>なし</v>
      </c>
      <c r="K116" s="59" t="str">
        <f>belugabun103&amp;""</f>
        <v/>
      </c>
      <c r="L116" t="b">
        <f>shutoku103</f>
        <v>0</v>
      </c>
    </row>
    <row r="117" spans="1:12">
      <c r="A117">
        <v>104</v>
      </c>
      <c r="C117" t="str">
        <f>shubetsu104&amp;""</f>
        <v/>
      </c>
      <c r="D117" s="58" t="str">
        <f>billid104&amp;""</f>
        <v/>
      </c>
      <c r="E117" s="58" t="str">
        <f>UPPER(SUBSTITUTE(番明[[#This Row],[ご請求番号]],"-",""))</f>
        <v/>
      </c>
      <c r="F117" s="58" t="str">
        <f>keiyakuid104&amp;""</f>
        <v/>
      </c>
      <c r="I117" t="str">
        <f>IF(accelikkatsu104="","希望しない",accelikkatsu104)</f>
        <v>希望しない</v>
      </c>
      <c r="J117" t="str">
        <f>IF(belugabunyn104="","なし",belugabunyn104)</f>
        <v>なし</v>
      </c>
      <c r="K117" s="59" t="str">
        <f>belugabun104&amp;""</f>
        <v/>
      </c>
      <c r="L117" t="b">
        <f>shutoku104</f>
        <v>0</v>
      </c>
    </row>
    <row r="118" spans="1:12">
      <c r="A118">
        <v>105</v>
      </c>
      <c r="C118" t="str">
        <f>shubetsu105&amp;""</f>
        <v/>
      </c>
      <c r="D118" s="58" t="str">
        <f>billid105&amp;""</f>
        <v/>
      </c>
      <c r="E118" s="58" t="str">
        <f>UPPER(SUBSTITUTE(番明[[#This Row],[ご請求番号]],"-",""))</f>
        <v/>
      </c>
      <c r="F118" s="58" t="str">
        <f>keiyakuid105&amp;""</f>
        <v/>
      </c>
      <c r="I118" t="str">
        <f>IF(accelikkatsu105="","希望しない",accelikkatsu105)</f>
        <v>希望しない</v>
      </c>
      <c r="J118" t="str">
        <f>IF(belugabunyn105="","なし",belugabunyn105)</f>
        <v>なし</v>
      </c>
      <c r="K118" s="59" t="str">
        <f>belugabun105&amp;""</f>
        <v/>
      </c>
      <c r="L118" t="b">
        <f>shutoku105</f>
        <v>0</v>
      </c>
    </row>
    <row r="119" spans="1:12">
      <c r="A119">
        <v>106</v>
      </c>
      <c r="C119" t="str">
        <f>shubetsu106&amp;""</f>
        <v/>
      </c>
      <c r="D119" s="58" t="str">
        <f>billid106&amp;""</f>
        <v/>
      </c>
      <c r="E119" s="58" t="str">
        <f>UPPER(SUBSTITUTE(番明[[#This Row],[ご請求番号]],"-",""))</f>
        <v/>
      </c>
      <c r="F119" s="58" t="str">
        <f>keiyakuid106&amp;""</f>
        <v/>
      </c>
      <c r="I119" t="str">
        <f>IF(accelikkatsu106="","希望しない",accelikkatsu106)</f>
        <v>希望しない</v>
      </c>
      <c r="J119" t="str">
        <f>IF(belugabunyn106="","なし",belugabunyn106)</f>
        <v>なし</v>
      </c>
      <c r="K119" s="59" t="str">
        <f>belugabun106&amp;""</f>
        <v/>
      </c>
      <c r="L119" t="b">
        <f>shutoku106</f>
        <v>0</v>
      </c>
    </row>
    <row r="120" spans="1:12">
      <c r="A120">
        <v>107</v>
      </c>
      <c r="C120" t="str">
        <f>shubetsu107&amp;""</f>
        <v/>
      </c>
      <c r="D120" s="58" t="str">
        <f>billid107&amp;""</f>
        <v/>
      </c>
      <c r="E120" s="58" t="str">
        <f>UPPER(SUBSTITUTE(番明[[#This Row],[ご請求番号]],"-",""))</f>
        <v/>
      </c>
      <c r="F120" s="58" t="str">
        <f>keiyakuid107&amp;""</f>
        <v/>
      </c>
      <c r="I120" t="str">
        <f>IF(accelikkatsu107="","希望しない",accelikkatsu107)</f>
        <v>希望しない</v>
      </c>
      <c r="J120" t="str">
        <f>IF(belugabunyn107="","なし",belugabunyn107)</f>
        <v>なし</v>
      </c>
      <c r="K120" s="59" t="str">
        <f>belugabun107&amp;""</f>
        <v/>
      </c>
      <c r="L120" t="b">
        <f>shutoku107</f>
        <v>0</v>
      </c>
    </row>
    <row r="121" spans="1:12">
      <c r="A121">
        <v>108</v>
      </c>
      <c r="C121" t="str">
        <f>shubetsu108&amp;""</f>
        <v/>
      </c>
      <c r="D121" s="58" t="str">
        <f>billid108&amp;""</f>
        <v/>
      </c>
      <c r="E121" s="58" t="str">
        <f>UPPER(SUBSTITUTE(番明[[#This Row],[ご請求番号]],"-",""))</f>
        <v/>
      </c>
      <c r="F121" s="58" t="str">
        <f>keiyakuid108&amp;""</f>
        <v/>
      </c>
      <c r="I121" t="str">
        <f>IF(accelikkatsu108="","希望しない",accelikkatsu108)</f>
        <v>希望しない</v>
      </c>
      <c r="J121" t="str">
        <f>IF(belugabunyn108="","なし",belugabunyn108)</f>
        <v>なし</v>
      </c>
      <c r="K121" s="59" t="str">
        <f>belugabun108&amp;""</f>
        <v/>
      </c>
      <c r="L121" t="b">
        <f>shutoku108</f>
        <v>0</v>
      </c>
    </row>
    <row r="122" spans="1:12">
      <c r="A122">
        <v>109</v>
      </c>
      <c r="C122" t="str">
        <f>shubetsu109&amp;""</f>
        <v/>
      </c>
      <c r="D122" s="58" t="str">
        <f>billid109&amp;""</f>
        <v/>
      </c>
      <c r="E122" s="58" t="str">
        <f>UPPER(SUBSTITUTE(番明[[#This Row],[ご請求番号]],"-",""))</f>
        <v/>
      </c>
      <c r="F122" s="58" t="str">
        <f>keiyakuid109&amp;""</f>
        <v/>
      </c>
      <c r="I122" t="str">
        <f>IF(accelikkatsu109="","希望しない",accelikkatsu109)</f>
        <v>希望しない</v>
      </c>
      <c r="J122" t="str">
        <f>IF(belugabunyn109="","なし",belugabunyn109)</f>
        <v>なし</v>
      </c>
      <c r="K122" s="59" t="str">
        <f>belugabun109&amp;""</f>
        <v/>
      </c>
      <c r="L122" t="b">
        <f>shutoku109</f>
        <v>0</v>
      </c>
    </row>
    <row r="123" spans="1:12">
      <c r="A123">
        <v>110</v>
      </c>
      <c r="C123" t="str">
        <f>shubetsu110&amp;""</f>
        <v/>
      </c>
      <c r="D123" s="58" t="str">
        <f>billid110&amp;""</f>
        <v/>
      </c>
      <c r="E123" s="58" t="str">
        <f>UPPER(SUBSTITUTE(番明[[#This Row],[ご請求番号]],"-",""))</f>
        <v/>
      </c>
      <c r="F123" s="58" t="str">
        <f>keiyakuid110&amp;""</f>
        <v/>
      </c>
      <c r="I123" t="str">
        <f>IF(accelikkatsu110="","希望しない",accelikkatsu110)</f>
        <v>希望しない</v>
      </c>
      <c r="J123" t="str">
        <f>IF(belugabunyn110="","なし",belugabunyn110)</f>
        <v>なし</v>
      </c>
      <c r="K123" s="59" t="str">
        <f>belugabun110&amp;""</f>
        <v/>
      </c>
      <c r="L123" t="b">
        <f>shutoku110</f>
        <v>0</v>
      </c>
    </row>
    <row r="124" spans="1:12">
      <c r="A124">
        <v>111</v>
      </c>
      <c r="C124" t="str">
        <f>shubetsu111&amp;""</f>
        <v/>
      </c>
      <c r="D124" s="58" t="str">
        <f>billid111&amp;""</f>
        <v/>
      </c>
      <c r="E124" s="58" t="str">
        <f>UPPER(SUBSTITUTE(番明[[#This Row],[ご請求番号]],"-",""))</f>
        <v/>
      </c>
      <c r="F124" s="58" t="str">
        <f>keiyakuid111&amp;""</f>
        <v/>
      </c>
      <c r="I124" t="str">
        <f>IF(accelikkatsu111="","希望しない",accelikkatsu111)</f>
        <v>希望しない</v>
      </c>
      <c r="J124" t="str">
        <f>IF(belugabunyn111="","なし",belugabunyn111)</f>
        <v>なし</v>
      </c>
      <c r="K124" s="59" t="str">
        <f>belugabun111&amp;""</f>
        <v/>
      </c>
      <c r="L124" t="b">
        <f>shutoku111</f>
        <v>0</v>
      </c>
    </row>
    <row r="125" spans="1:12">
      <c r="A125">
        <v>112</v>
      </c>
      <c r="C125" t="str">
        <f>shubetsu112&amp;""</f>
        <v/>
      </c>
      <c r="D125" s="58" t="str">
        <f>billid112&amp;""</f>
        <v/>
      </c>
      <c r="E125" s="58" t="str">
        <f>UPPER(SUBSTITUTE(番明[[#This Row],[ご請求番号]],"-",""))</f>
        <v/>
      </c>
      <c r="F125" s="58" t="str">
        <f>keiyakuid112&amp;""</f>
        <v/>
      </c>
      <c r="I125" t="str">
        <f>IF(accelikkatsu112="","希望しない",accelikkatsu112)</f>
        <v>希望しない</v>
      </c>
      <c r="J125" t="str">
        <f>IF(belugabunyn112="","なし",belugabunyn112)</f>
        <v>なし</v>
      </c>
      <c r="K125" s="59" t="str">
        <f>belugabun112&amp;""</f>
        <v/>
      </c>
      <c r="L125" t="b">
        <f>shutoku112</f>
        <v>0</v>
      </c>
    </row>
    <row r="126" spans="1:12">
      <c r="A126">
        <v>113</v>
      </c>
      <c r="C126" t="str">
        <f>shubetsu113&amp;""</f>
        <v/>
      </c>
      <c r="D126" s="58" t="str">
        <f>billid113&amp;""</f>
        <v/>
      </c>
      <c r="E126" s="58" t="str">
        <f>UPPER(SUBSTITUTE(番明[[#This Row],[ご請求番号]],"-",""))</f>
        <v/>
      </c>
      <c r="F126" s="58" t="str">
        <f>keiyakuid113&amp;""</f>
        <v/>
      </c>
      <c r="I126" t="str">
        <f>IF(accelikkatsu113="","希望しない",accelikkatsu113)</f>
        <v>希望しない</v>
      </c>
      <c r="J126" t="str">
        <f>IF(belugabunyn113="","なし",belugabunyn113)</f>
        <v>なし</v>
      </c>
      <c r="K126" s="59" t="str">
        <f>belugabun113&amp;""</f>
        <v/>
      </c>
      <c r="L126" t="b">
        <f>shutoku113</f>
        <v>0</v>
      </c>
    </row>
    <row r="127" spans="1:12">
      <c r="A127">
        <v>114</v>
      </c>
      <c r="C127" t="str">
        <f>shubetsu114&amp;""</f>
        <v/>
      </c>
      <c r="D127" s="58" t="str">
        <f>billid114&amp;""</f>
        <v/>
      </c>
      <c r="E127" s="58" t="str">
        <f>UPPER(SUBSTITUTE(番明[[#This Row],[ご請求番号]],"-",""))</f>
        <v/>
      </c>
      <c r="F127" s="58" t="str">
        <f>keiyakuid114&amp;""</f>
        <v/>
      </c>
      <c r="I127" t="str">
        <f>IF(accelikkatsu114="","希望しない",accelikkatsu114)</f>
        <v>希望しない</v>
      </c>
      <c r="J127" t="str">
        <f>IF(belugabunyn114="","なし",belugabunyn114)</f>
        <v>なし</v>
      </c>
      <c r="K127" s="59" t="str">
        <f>belugabun114&amp;""</f>
        <v/>
      </c>
      <c r="L127" t="b">
        <f>shutoku114</f>
        <v>0</v>
      </c>
    </row>
    <row r="128" spans="1:12">
      <c r="A128">
        <v>115</v>
      </c>
      <c r="C128" t="str">
        <f>shubetsu115&amp;""</f>
        <v/>
      </c>
      <c r="D128" s="58" t="str">
        <f>billid115&amp;""</f>
        <v/>
      </c>
      <c r="E128" s="58" t="str">
        <f>UPPER(SUBSTITUTE(番明[[#This Row],[ご請求番号]],"-",""))</f>
        <v/>
      </c>
      <c r="F128" s="58" t="str">
        <f>keiyakuid115&amp;""</f>
        <v/>
      </c>
      <c r="I128" t="str">
        <f>IF(accelikkatsu115="","希望しない",accelikkatsu115)</f>
        <v>希望しない</v>
      </c>
      <c r="J128" t="str">
        <f>IF(belugabunyn115="","なし",belugabunyn115)</f>
        <v>なし</v>
      </c>
      <c r="K128" s="59" t="str">
        <f>belugabun115&amp;""</f>
        <v/>
      </c>
      <c r="L128" t="b">
        <f>shutoku115</f>
        <v>0</v>
      </c>
    </row>
    <row r="129" spans="1:12">
      <c r="A129">
        <v>116</v>
      </c>
      <c r="C129" t="str">
        <f>shubetsu116&amp;""</f>
        <v/>
      </c>
      <c r="D129" s="58" t="str">
        <f>billid116&amp;""</f>
        <v/>
      </c>
      <c r="E129" s="58" t="str">
        <f>UPPER(SUBSTITUTE(番明[[#This Row],[ご請求番号]],"-",""))</f>
        <v/>
      </c>
      <c r="F129" s="58" t="str">
        <f>keiyakuid116&amp;""</f>
        <v/>
      </c>
      <c r="I129" t="str">
        <f>IF(accelikkatsu116="","希望しない",accelikkatsu116)</f>
        <v>希望しない</v>
      </c>
      <c r="J129" t="str">
        <f>IF(belugabunyn116="","なし",belugabunyn116)</f>
        <v>なし</v>
      </c>
      <c r="K129" s="59" t="str">
        <f>belugabun116&amp;""</f>
        <v/>
      </c>
      <c r="L129" t="b">
        <f>shutoku116</f>
        <v>0</v>
      </c>
    </row>
    <row r="130" spans="1:12">
      <c r="A130">
        <v>117</v>
      </c>
      <c r="C130" t="str">
        <f>shubetsu117&amp;""</f>
        <v/>
      </c>
      <c r="D130" s="58" t="str">
        <f>billid117&amp;""</f>
        <v/>
      </c>
      <c r="E130" s="58" t="str">
        <f>UPPER(SUBSTITUTE(番明[[#This Row],[ご請求番号]],"-",""))</f>
        <v/>
      </c>
      <c r="F130" s="58" t="str">
        <f>keiyakuid117&amp;""</f>
        <v/>
      </c>
      <c r="I130" t="str">
        <f>IF(accelikkatsu117="","希望しない",accelikkatsu117)</f>
        <v>希望しない</v>
      </c>
      <c r="J130" t="str">
        <f>IF(belugabunyn117="","なし",belugabunyn117)</f>
        <v>なし</v>
      </c>
      <c r="K130" s="59" t="str">
        <f>belugabun117&amp;""</f>
        <v/>
      </c>
      <c r="L130" t="b">
        <f>shutoku117</f>
        <v>0</v>
      </c>
    </row>
    <row r="131" spans="1:12">
      <c r="A131">
        <v>118</v>
      </c>
      <c r="C131" t="str">
        <f>shubetsu118&amp;""</f>
        <v/>
      </c>
      <c r="D131" s="58" t="str">
        <f>billid118&amp;""</f>
        <v/>
      </c>
      <c r="E131" s="58" t="str">
        <f>UPPER(SUBSTITUTE(番明[[#This Row],[ご請求番号]],"-",""))</f>
        <v/>
      </c>
      <c r="F131" s="58" t="str">
        <f>keiyakuid118&amp;""</f>
        <v/>
      </c>
      <c r="I131" t="str">
        <f>IF(accelikkatsu118="","希望しない",accelikkatsu118)</f>
        <v>希望しない</v>
      </c>
      <c r="J131" t="str">
        <f>IF(belugabunyn118="","なし",belugabunyn118)</f>
        <v>なし</v>
      </c>
      <c r="K131" s="59" t="str">
        <f>belugabun118&amp;""</f>
        <v/>
      </c>
      <c r="L131" t="b">
        <f>shutoku118</f>
        <v>0</v>
      </c>
    </row>
    <row r="132" spans="1:12">
      <c r="A132">
        <v>119</v>
      </c>
      <c r="C132" t="str">
        <f>shubetsu119&amp;""</f>
        <v/>
      </c>
      <c r="D132" s="58" t="str">
        <f>billid119&amp;""</f>
        <v/>
      </c>
      <c r="E132" s="58" t="str">
        <f>UPPER(SUBSTITUTE(番明[[#This Row],[ご請求番号]],"-",""))</f>
        <v/>
      </c>
      <c r="F132" s="58" t="str">
        <f>keiyakuid119&amp;""</f>
        <v/>
      </c>
      <c r="I132" t="str">
        <f>IF(accelikkatsu119="","希望しない",accelikkatsu119)</f>
        <v>希望しない</v>
      </c>
      <c r="J132" t="str">
        <f>IF(belugabunyn119="","なし",belugabunyn119)</f>
        <v>なし</v>
      </c>
      <c r="K132" s="59" t="str">
        <f>belugabun119&amp;""</f>
        <v/>
      </c>
      <c r="L132" t="b">
        <f>shutoku119</f>
        <v>0</v>
      </c>
    </row>
    <row r="133" spans="1:12">
      <c r="A133">
        <v>120</v>
      </c>
      <c r="C133" t="str">
        <f>shubetsu120&amp;""</f>
        <v/>
      </c>
      <c r="D133" s="58" t="str">
        <f>billid120&amp;""</f>
        <v/>
      </c>
      <c r="E133" s="58" t="str">
        <f>UPPER(SUBSTITUTE(番明[[#This Row],[ご請求番号]],"-",""))</f>
        <v/>
      </c>
      <c r="F133" s="58" t="str">
        <f>keiyakuid120&amp;""</f>
        <v/>
      </c>
      <c r="I133" t="str">
        <f>IF(accelikkatsu120="","希望しない",accelikkatsu120)</f>
        <v>希望しない</v>
      </c>
      <c r="J133" t="str">
        <f>IF(belugabunyn120="","なし",belugabunyn120)</f>
        <v>なし</v>
      </c>
      <c r="K133" s="59" t="str">
        <f>belugabun120&amp;""</f>
        <v/>
      </c>
      <c r="L133" t="b">
        <f>shutoku120</f>
        <v>0</v>
      </c>
    </row>
    <row r="134" spans="1:12">
      <c r="A134">
        <v>121</v>
      </c>
      <c r="C134" t="str">
        <f>shubetsu121&amp;""</f>
        <v/>
      </c>
      <c r="D134" s="58" t="str">
        <f>billid121&amp;""</f>
        <v/>
      </c>
      <c r="E134" s="58" t="str">
        <f>UPPER(SUBSTITUTE(番明[[#This Row],[ご請求番号]],"-",""))</f>
        <v/>
      </c>
      <c r="F134" s="58" t="str">
        <f>keiyakuid121&amp;""</f>
        <v/>
      </c>
      <c r="I134" t="str">
        <f>IF(accelikkatsu121="","希望しない",accelikkatsu121)</f>
        <v>希望しない</v>
      </c>
      <c r="J134" t="str">
        <f>IF(belugabunyn121="","なし",belugabunyn121)</f>
        <v>なし</v>
      </c>
      <c r="K134" s="59" t="str">
        <f>belugabun121&amp;""</f>
        <v/>
      </c>
      <c r="L134" t="b">
        <f>shutoku121</f>
        <v>0</v>
      </c>
    </row>
    <row r="135" spans="1:12">
      <c r="A135">
        <v>122</v>
      </c>
      <c r="C135" t="str">
        <f>shubetsu122&amp;""</f>
        <v/>
      </c>
      <c r="D135" s="58" t="str">
        <f>billid122&amp;""</f>
        <v/>
      </c>
      <c r="E135" s="58" t="str">
        <f>UPPER(SUBSTITUTE(番明[[#This Row],[ご請求番号]],"-",""))</f>
        <v/>
      </c>
      <c r="F135" s="58" t="str">
        <f>keiyakuid122&amp;""</f>
        <v/>
      </c>
      <c r="I135" t="str">
        <f>IF(accelikkatsu122="","希望しない",accelikkatsu122)</f>
        <v>希望しない</v>
      </c>
      <c r="J135" t="str">
        <f>IF(belugabunyn122="","なし",belugabunyn122)</f>
        <v>なし</v>
      </c>
      <c r="K135" s="59" t="str">
        <f>belugabun122&amp;""</f>
        <v/>
      </c>
      <c r="L135" t="b">
        <f>shutoku122</f>
        <v>0</v>
      </c>
    </row>
    <row r="136" spans="1:12">
      <c r="A136">
        <v>123</v>
      </c>
      <c r="C136" t="str">
        <f>shubetsu123&amp;""</f>
        <v/>
      </c>
      <c r="D136" s="58" t="str">
        <f>billid123&amp;""</f>
        <v/>
      </c>
      <c r="E136" s="58" t="str">
        <f>UPPER(SUBSTITUTE(番明[[#This Row],[ご請求番号]],"-",""))</f>
        <v/>
      </c>
      <c r="F136" s="58" t="str">
        <f>keiyakuid123&amp;""</f>
        <v/>
      </c>
      <c r="I136" t="str">
        <f>IF(accelikkatsu123="","希望しない",accelikkatsu123)</f>
        <v>希望しない</v>
      </c>
      <c r="J136" t="str">
        <f>IF(belugabunyn123="","なし",belugabunyn123)</f>
        <v>なし</v>
      </c>
      <c r="K136" s="59" t="str">
        <f>belugabun123&amp;""</f>
        <v/>
      </c>
      <c r="L136" t="b">
        <f>shutoku123</f>
        <v>0</v>
      </c>
    </row>
    <row r="137" spans="1:12">
      <c r="A137">
        <v>124</v>
      </c>
      <c r="C137" t="str">
        <f>shubetsu124&amp;""</f>
        <v/>
      </c>
      <c r="D137" s="58" t="str">
        <f>billid124&amp;""</f>
        <v/>
      </c>
      <c r="E137" s="58" t="str">
        <f>UPPER(SUBSTITUTE(番明[[#This Row],[ご請求番号]],"-",""))</f>
        <v/>
      </c>
      <c r="F137" s="58" t="str">
        <f>keiyakuid124&amp;""</f>
        <v/>
      </c>
      <c r="I137" t="str">
        <f>IF(accelikkatsu124="","希望しない",accelikkatsu124)</f>
        <v>希望しない</v>
      </c>
      <c r="J137" t="str">
        <f>IF(belugabunyn124="","なし",belugabunyn124)</f>
        <v>なし</v>
      </c>
      <c r="K137" s="59" t="str">
        <f>belugabun124&amp;""</f>
        <v/>
      </c>
      <c r="L137" t="b">
        <f>shutoku124</f>
        <v>0</v>
      </c>
    </row>
    <row r="138" spans="1:12">
      <c r="A138">
        <v>125</v>
      </c>
      <c r="C138" t="str">
        <f>shubetsu125&amp;""</f>
        <v/>
      </c>
      <c r="D138" s="58" t="str">
        <f>billid125&amp;""</f>
        <v/>
      </c>
      <c r="E138" s="58" t="str">
        <f>UPPER(SUBSTITUTE(番明[[#This Row],[ご請求番号]],"-",""))</f>
        <v/>
      </c>
      <c r="F138" s="58" t="str">
        <f>keiyakuid125&amp;""</f>
        <v/>
      </c>
      <c r="I138" t="str">
        <f>IF(accelikkatsu125="","希望しない",accelikkatsu125)</f>
        <v>希望しない</v>
      </c>
      <c r="J138" t="str">
        <f>IF(belugabunyn125="","なし",belugabunyn125)</f>
        <v>なし</v>
      </c>
      <c r="K138" s="59" t="str">
        <f>belugabun125&amp;""</f>
        <v/>
      </c>
      <c r="L138" t="b">
        <f>shutoku125</f>
        <v>0</v>
      </c>
    </row>
    <row r="139" spans="1:12">
      <c r="A139">
        <v>126</v>
      </c>
      <c r="C139" t="str">
        <f>shubetsu126&amp;""</f>
        <v/>
      </c>
      <c r="D139" s="58" t="str">
        <f>billid126&amp;""</f>
        <v/>
      </c>
      <c r="E139" s="58" t="str">
        <f>UPPER(SUBSTITUTE(番明[[#This Row],[ご請求番号]],"-",""))</f>
        <v/>
      </c>
      <c r="F139" s="58" t="str">
        <f>keiyakuid126&amp;""</f>
        <v/>
      </c>
      <c r="I139" t="str">
        <f>IF(accelikkatsu126="","希望しない",accelikkatsu126)</f>
        <v>希望しない</v>
      </c>
      <c r="J139" t="str">
        <f>IF(belugabunyn126="","なし",belugabunyn126)</f>
        <v>なし</v>
      </c>
      <c r="K139" s="59" t="str">
        <f>belugabun126&amp;""</f>
        <v/>
      </c>
      <c r="L139" t="b">
        <f>shutoku126</f>
        <v>0</v>
      </c>
    </row>
    <row r="140" spans="1:12">
      <c r="A140">
        <v>127</v>
      </c>
      <c r="C140" t="str">
        <f>shubetsu127&amp;""</f>
        <v/>
      </c>
      <c r="D140" s="58" t="str">
        <f>billid127&amp;""</f>
        <v/>
      </c>
      <c r="E140" s="58" t="str">
        <f>UPPER(SUBSTITUTE(番明[[#This Row],[ご請求番号]],"-",""))</f>
        <v/>
      </c>
      <c r="F140" s="58" t="str">
        <f>keiyakuid127&amp;""</f>
        <v/>
      </c>
      <c r="I140" t="str">
        <f>IF(accelikkatsu127="","希望しない",accelikkatsu127)</f>
        <v>希望しない</v>
      </c>
      <c r="J140" t="str">
        <f>IF(belugabunyn127="","なし",belugabunyn127)</f>
        <v>なし</v>
      </c>
      <c r="K140" s="59" t="str">
        <f>belugabun127&amp;""</f>
        <v/>
      </c>
      <c r="L140" t="b">
        <f>shutoku127</f>
        <v>0</v>
      </c>
    </row>
    <row r="141" spans="1:12">
      <c r="A141">
        <v>128</v>
      </c>
      <c r="C141" t="str">
        <f>shubetsu128&amp;""</f>
        <v/>
      </c>
      <c r="D141" s="58" t="str">
        <f>billid128&amp;""</f>
        <v/>
      </c>
      <c r="E141" s="58" t="str">
        <f>UPPER(SUBSTITUTE(番明[[#This Row],[ご請求番号]],"-",""))</f>
        <v/>
      </c>
      <c r="F141" s="58" t="str">
        <f>keiyakuid128&amp;""</f>
        <v/>
      </c>
      <c r="I141" t="str">
        <f>IF(accelikkatsu128="","希望しない",accelikkatsu128)</f>
        <v>希望しない</v>
      </c>
      <c r="J141" t="str">
        <f>IF(belugabunyn128="","なし",belugabunyn128)</f>
        <v>なし</v>
      </c>
      <c r="K141" s="59" t="str">
        <f>belugabun128&amp;""</f>
        <v/>
      </c>
      <c r="L141" t="b">
        <f>shutoku128</f>
        <v>0</v>
      </c>
    </row>
    <row r="142" spans="1:12">
      <c r="A142">
        <v>129</v>
      </c>
      <c r="C142" t="str">
        <f>shubetsu129&amp;""</f>
        <v/>
      </c>
      <c r="D142" s="58" t="str">
        <f>billid129&amp;""</f>
        <v/>
      </c>
      <c r="E142" s="58" t="str">
        <f>UPPER(SUBSTITUTE(番明[[#This Row],[ご請求番号]],"-",""))</f>
        <v/>
      </c>
      <c r="F142" s="58" t="str">
        <f>keiyakuid129&amp;""</f>
        <v/>
      </c>
      <c r="I142" t="str">
        <f>IF(accelikkatsu129="","希望しない",accelikkatsu129)</f>
        <v>希望しない</v>
      </c>
      <c r="J142" t="str">
        <f>IF(belugabunyn129="","なし",belugabunyn129)</f>
        <v>なし</v>
      </c>
      <c r="K142" s="59" t="str">
        <f>belugabun129&amp;""</f>
        <v/>
      </c>
      <c r="L142" t="b">
        <f>shutoku129</f>
        <v>0</v>
      </c>
    </row>
    <row r="143" spans="1:12">
      <c r="A143">
        <v>130</v>
      </c>
      <c r="C143" t="str">
        <f>shubetsu130&amp;""</f>
        <v/>
      </c>
      <c r="D143" s="58" t="str">
        <f>billid130&amp;""</f>
        <v/>
      </c>
      <c r="E143" s="58" t="str">
        <f>UPPER(SUBSTITUTE(番明[[#This Row],[ご請求番号]],"-",""))</f>
        <v/>
      </c>
      <c r="F143" s="58" t="str">
        <f>keiyakuid130&amp;""</f>
        <v/>
      </c>
      <c r="I143" t="str">
        <f>IF(accelikkatsu130="","希望しない",accelikkatsu130)</f>
        <v>希望しない</v>
      </c>
      <c r="J143" t="str">
        <f>IF(belugabunyn130="","なし",belugabunyn130)</f>
        <v>なし</v>
      </c>
      <c r="K143" s="59" t="str">
        <f>belugabun130&amp;""</f>
        <v/>
      </c>
      <c r="L143" t="b">
        <f>shutoku130</f>
        <v>0</v>
      </c>
    </row>
    <row r="144" spans="1:12">
      <c r="A144">
        <v>131</v>
      </c>
      <c r="C144" t="str">
        <f>shubetsu131&amp;""</f>
        <v/>
      </c>
      <c r="D144" s="58" t="str">
        <f>billid131&amp;""</f>
        <v/>
      </c>
      <c r="E144" s="58" t="str">
        <f>UPPER(SUBSTITUTE(番明[[#This Row],[ご請求番号]],"-",""))</f>
        <v/>
      </c>
      <c r="F144" s="58" t="str">
        <f>keiyakuid131&amp;""</f>
        <v/>
      </c>
      <c r="I144" t="str">
        <f>IF(accelikkatsu131="","希望しない",accelikkatsu131)</f>
        <v>希望しない</v>
      </c>
      <c r="J144" t="str">
        <f>IF(belugabunyn131="","なし",belugabunyn131)</f>
        <v>なし</v>
      </c>
      <c r="K144" s="59" t="str">
        <f>belugabun131&amp;""</f>
        <v/>
      </c>
      <c r="L144" t="b">
        <f>shutoku131</f>
        <v>0</v>
      </c>
    </row>
    <row r="145" spans="1:12">
      <c r="A145">
        <v>132</v>
      </c>
      <c r="C145" t="str">
        <f>shubetsu132&amp;""</f>
        <v/>
      </c>
      <c r="D145" s="58" t="str">
        <f>billid132&amp;""</f>
        <v/>
      </c>
      <c r="E145" s="58" t="str">
        <f>UPPER(SUBSTITUTE(番明[[#This Row],[ご請求番号]],"-",""))</f>
        <v/>
      </c>
      <c r="F145" s="58" t="str">
        <f>keiyakuid132&amp;""</f>
        <v/>
      </c>
      <c r="I145" t="str">
        <f>IF(accelikkatsu132="","希望しない",accelikkatsu132)</f>
        <v>希望しない</v>
      </c>
      <c r="J145" t="str">
        <f>IF(belugabunyn132="","なし",belugabunyn132)</f>
        <v>なし</v>
      </c>
      <c r="K145" s="59" t="str">
        <f>belugabun132&amp;""</f>
        <v/>
      </c>
      <c r="L145" t="b">
        <f>shutoku132</f>
        <v>0</v>
      </c>
    </row>
    <row r="146" spans="1:12">
      <c r="A146">
        <v>133</v>
      </c>
      <c r="C146" t="str">
        <f>shubetsu133&amp;""</f>
        <v/>
      </c>
      <c r="D146" s="58" t="str">
        <f>billid133&amp;""</f>
        <v/>
      </c>
      <c r="E146" s="58" t="str">
        <f>UPPER(SUBSTITUTE(番明[[#This Row],[ご請求番号]],"-",""))</f>
        <v/>
      </c>
      <c r="F146" s="58" t="str">
        <f>keiyakuid133&amp;""</f>
        <v/>
      </c>
      <c r="I146" t="str">
        <f>IF(accelikkatsu133="","希望しない",accelikkatsu133)</f>
        <v>希望しない</v>
      </c>
      <c r="J146" t="str">
        <f>IF(belugabunyn133="","なし",belugabunyn133)</f>
        <v>なし</v>
      </c>
      <c r="K146" s="59" t="str">
        <f>belugabun133&amp;""</f>
        <v/>
      </c>
      <c r="L146" t="b">
        <f>shutoku133</f>
        <v>0</v>
      </c>
    </row>
    <row r="147" spans="1:12">
      <c r="A147">
        <v>134</v>
      </c>
      <c r="C147" t="str">
        <f>shubetsu134&amp;""</f>
        <v/>
      </c>
      <c r="D147" s="58" t="str">
        <f>billid134&amp;""</f>
        <v/>
      </c>
      <c r="E147" s="58" t="str">
        <f>UPPER(SUBSTITUTE(番明[[#This Row],[ご請求番号]],"-",""))</f>
        <v/>
      </c>
      <c r="F147" s="58" t="str">
        <f>keiyakuid134&amp;""</f>
        <v/>
      </c>
      <c r="I147" t="str">
        <f>IF(accelikkatsu134="","希望しない",accelikkatsu134)</f>
        <v>希望しない</v>
      </c>
      <c r="J147" t="str">
        <f>IF(belugabunyn134="","なし",belugabunyn134)</f>
        <v>なし</v>
      </c>
      <c r="K147" s="59" t="str">
        <f>belugabun134&amp;""</f>
        <v/>
      </c>
      <c r="L147" t="b">
        <f>shutoku134</f>
        <v>0</v>
      </c>
    </row>
    <row r="148" spans="1:12">
      <c r="A148">
        <v>135</v>
      </c>
      <c r="C148" t="str">
        <f>shubetsu135&amp;""</f>
        <v/>
      </c>
      <c r="D148" s="58" t="str">
        <f>billid135&amp;""</f>
        <v/>
      </c>
      <c r="E148" s="58" t="str">
        <f>UPPER(SUBSTITUTE(番明[[#This Row],[ご請求番号]],"-",""))</f>
        <v/>
      </c>
      <c r="F148" s="58" t="str">
        <f>keiyakuid135&amp;""</f>
        <v/>
      </c>
      <c r="I148" t="str">
        <f>IF(accelikkatsu135="","希望しない",accelikkatsu135)</f>
        <v>希望しない</v>
      </c>
      <c r="J148" t="str">
        <f>IF(belugabunyn135="","なし",belugabunyn135)</f>
        <v>なし</v>
      </c>
      <c r="K148" s="59" t="str">
        <f>belugabun135&amp;""</f>
        <v/>
      </c>
      <c r="L148" t="b">
        <f>shutoku135</f>
        <v>0</v>
      </c>
    </row>
    <row r="149" spans="1:12">
      <c r="A149">
        <v>136</v>
      </c>
      <c r="C149" t="str">
        <f>shubetsu136&amp;""</f>
        <v/>
      </c>
      <c r="D149" s="58" t="str">
        <f>billid136&amp;""</f>
        <v/>
      </c>
      <c r="E149" s="58" t="str">
        <f>UPPER(SUBSTITUTE(番明[[#This Row],[ご請求番号]],"-",""))</f>
        <v/>
      </c>
      <c r="F149" s="58" t="str">
        <f>keiyakuid136&amp;""</f>
        <v/>
      </c>
      <c r="I149" t="str">
        <f>IF(accelikkatsu136="","希望しない",accelikkatsu136)</f>
        <v>希望しない</v>
      </c>
      <c r="J149" t="str">
        <f>IF(belugabunyn136="","なし",belugabunyn136)</f>
        <v>なし</v>
      </c>
      <c r="K149" s="59" t="str">
        <f>belugabun136&amp;""</f>
        <v/>
      </c>
      <c r="L149" t="b">
        <f>shutoku136</f>
        <v>0</v>
      </c>
    </row>
    <row r="150" spans="1:12">
      <c r="A150">
        <v>137</v>
      </c>
      <c r="C150" t="str">
        <f>shubetsu137&amp;""</f>
        <v/>
      </c>
      <c r="D150" s="58" t="str">
        <f>billid137&amp;""</f>
        <v/>
      </c>
      <c r="E150" s="58" t="str">
        <f>UPPER(SUBSTITUTE(番明[[#This Row],[ご請求番号]],"-",""))</f>
        <v/>
      </c>
      <c r="F150" s="58" t="str">
        <f>keiyakuid137&amp;""</f>
        <v/>
      </c>
      <c r="I150" t="str">
        <f>IF(accelikkatsu137="","希望しない",accelikkatsu137)</f>
        <v>希望しない</v>
      </c>
      <c r="J150" t="str">
        <f>IF(belugabunyn137="","なし",belugabunyn137)</f>
        <v>なし</v>
      </c>
      <c r="K150" s="59" t="str">
        <f>belugabun137&amp;""</f>
        <v/>
      </c>
      <c r="L150" t="b">
        <f>shutoku137</f>
        <v>0</v>
      </c>
    </row>
    <row r="151" spans="1:12">
      <c r="A151">
        <v>138</v>
      </c>
      <c r="C151" t="str">
        <f>shubetsu138&amp;""</f>
        <v/>
      </c>
      <c r="D151" s="58" t="str">
        <f>billid138&amp;""</f>
        <v/>
      </c>
      <c r="E151" s="58" t="str">
        <f>UPPER(SUBSTITUTE(番明[[#This Row],[ご請求番号]],"-",""))</f>
        <v/>
      </c>
      <c r="F151" s="58" t="str">
        <f>keiyakuid138&amp;""</f>
        <v/>
      </c>
      <c r="I151" t="str">
        <f>IF(accelikkatsu138="","希望しない",accelikkatsu138)</f>
        <v>希望しない</v>
      </c>
      <c r="J151" t="str">
        <f>IF(belugabunyn138="","なし",belugabunyn138)</f>
        <v>なし</v>
      </c>
      <c r="K151" s="59" t="str">
        <f>belugabun138&amp;""</f>
        <v/>
      </c>
      <c r="L151" t="b">
        <f>shutoku138</f>
        <v>0</v>
      </c>
    </row>
    <row r="152" spans="1:12">
      <c r="A152">
        <v>139</v>
      </c>
      <c r="C152" t="str">
        <f>shubetsu139&amp;""</f>
        <v/>
      </c>
      <c r="D152" s="58" t="str">
        <f>billid139&amp;""</f>
        <v/>
      </c>
      <c r="E152" s="58" t="str">
        <f>UPPER(SUBSTITUTE(番明[[#This Row],[ご請求番号]],"-",""))</f>
        <v/>
      </c>
      <c r="F152" s="58" t="str">
        <f>keiyakuid139&amp;""</f>
        <v/>
      </c>
      <c r="I152" t="str">
        <f>IF(accelikkatsu139="","希望しない",accelikkatsu139)</f>
        <v>希望しない</v>
      </c>
      <c r="J152" t="str">
        <f>IF(belugabunyn139="","なし",belugabunyn139)</f>
        <v>なし</v>
      </c>
      <c r="K152" s="59" t="str">
        <f>belugabun139&amp;""</f>
        <v/>
      </c>
      <c r="L152" t="b">
        <f>shutoku139</f>
        <v>0</v>
      </c>
    </row>
    <row r="153" spans="1:12">
      <c r="A153">
        <v>140</v>
      </c>
      <c r="C153" t="str">
        <f>shubetsu140&amp;""</f>
        <v/>
      </c>
      <c r="D153" s="58" t="str">
        <f>billid140&amp;""</f>
        <v/>
      </c>
      <c r="E153" s="58" t="str">
        <f>UPPER(SUBSTITUTE(番明[[#This Row],[ご請求番号]],"-",""))</f>
        <v/>
      </c>
      <c r="F153" s="58" t="str">
        <f>keiyakuid140&amp;""</f>
        <v/>
      </c>
      <c r="I153" t="str">
        <f>IF(accelikkatsu140="","希望しない",accelikkatsu140)</f>
        <v>希望しない</v>
      </c>
      <c r="J153" t="str">
        <f>IF(belugabunyn140="","なし",belugabunyn140)</f>
        <v>なし</v>
      </c>
      <c r="K153" s="59" t="str">
        <f>belugabun140&amp;""</f>
        <v/>
      </c>
      <c r="L153" t="b">
        <f>shutoku140</f>
        <v>0</v>
      </c>
    </row>
    <row r="154" spans="1:12">
      <c r="A154">
        <v>141</v>
      </c>
      <c r="C154" t="str">
        <f>shubetsu141&amp;""</f>
        <v/>
      </c>
      <c r="D154" s="58" t="str">
        <f>billid141&amp;""</f>
        <v/>
      </c>
      <c r="E154" s="58" t="str">
        <f>UPPER(SUBSTITUTE(番明[[#This Row],[ご請求番号]],"-",""))</f>
        <v/>
      </c>
      <c r="F154" s="58" t="str">
        <f>keiyakuid141&amp;""</f>
        <v/>
      </c>
      <c r="I154" t="str">
        <f>IF(accelikkatsu141="","希望しない",accelikkatsu141)</f>
        <v>希望しない</v>
      </c>
      <c r="J154" t="str">
        <f>IF(belugabunyn141="","なし",belugabunyn141)</f>
        <v>なし</v>
      </c>
      <c r="K154" s="59" t="str">
        <f>belugabun141&amp;""</f>
        <v/>
      </c>
      <c r="L154" t="b">
        <f>shutoku141</f>
        <v>0</v>
      </c>
    </row>
    <row r="155" spans="1:12">
      <c r="A155">
        <v>142</v>
      </c>
      <c r="C155" t="str">
        <f>shubetsu142&amp;""</f>
        <v/>
      </c>
      <c r="D155" s="58" t="str">
        <f>billid142&amp;""</f>
        <v/>
      </c>
      <c r="E155" s="58" t="str">
        <f>UPPER(SUBSTITUTE(番明[[#This Row],[ご請求番号]],"-",""))</f>
        <v/>
      </c>
      <c r="F155" s="58" t="str">
        <f>keiyakuid142&amp;""</f>
        <v/>
      </c>
      <c r="I155" t="str">
        <f>IF(accelikkatsu142="","希望しない",accelikkatsu142)</f>
        <v>希望しない</v>
      </c>
      <c r="J155" t="str">
        <f>IF(belugabunyn142="","なし",belugabunyn142)</f>
        <v>なし</v>
      </c>
      <c r="K155" s="59" t="str">
        <f>belugabun142&amp;""</f>
        <v/>
      </c>
      <c r="L155" t="b">
        <f>shutoku142</f>
        <v>0</v>
      </c>
    </row>
    <row r="156" spans="1:12">
      <c r="A156">
        <v>143</v>
      </c>
      <c r="C156" t="str">
        <f>shubetsu143&amp;""</f>
        <v/>
      </c>
      <c r="D156" s="58" t="str">
        <f>billid143&amp;""</f>
        <v/>
      </c>
      <c r="E156" s="58" t="str">
        <f>UPPER(SUBSTITUTE(番明[[#This Row],[ご請求番号]],"-",""))</f>
        <v/>
      </c>
      <c r="F156" s="58" t="str">
        <f>keiyakuid143&amp;""</f>
        <v/>
      </c>
      <c r="I156" t="str">
        <f>IF(accelikkatsu143="","希望しない",accelikkatsu143)</f>
        <v>希望しない</v>
      </c>
      <c r="J156" t="str">
        <f>IF(belugabunyn143="","なし",belugabunyn143)</f>
        <v>なし</v>
      </c>
      <c r="K156" s="59" t="str">
        <f>belugabun143&amp;""</f>
        <v/>
      </c>
      <c r="L156" t="b">
        <f>shutoku143</f>
        <v>0</v>
      </c>
    </row>
    <row r="157" spans="1:12">
      <c r="A157">
        <v>144</v>
      </c>
      <c r="C157" t="str">
        <f>shubetsu144&amp;""</f>
        <v/>
      </c>
      <c r="D157" s="58" t="str">
        <f>billid144&amp;""</f>
        <v/>
      </c>
      <c r="E157" s="58" t="str">
        <f>UPPER(SUBSTITUTE(番明[[#This Row],[ご請求番号]],"-",""))</f>
        <v/>
      </c>
      <c r="F157" s="58" t="str">
        <f>keiyakuid144&amp;""</f>
        <v/>
      </c>
      <c r="I157" t="str">
        <f>IF(accelikkatsu144="","希望しない",accelikkatsu144)</f>
        <v>希望しない</v>
      </c>
      <c r="J157" t="str">
        <f>IF(belugabunyn144="","なし",belugabunyn144)</f>
        <v>なし</v>
      </c>
      <c r="K157" s="59" t="str">
        <f>belugabun144&amp;""</f>
        <v/>
      </c>
      <c r="L157" t="b">
        <f>shutoku144</f>
        <v>0</v>
      </c>
    </row>
    <row r="158" spans="1:12">
      <c r="A158">
        <v>145</v>
      </c>
      <c r="C158" t="str">
        <f>shubetsu145&amp;""</f>
        <v/>
      </c>
      <c r="D158" s="58" t="str">
        <f>billid145&amp;""</f>
        <v/>
      </c>
      <c r="E158" s="58" t="str">
        <f>UPPER(SUBSTITUTE(番明[[#This Row],[ご請求番号]],"-",""))</f>
        <v/>
      </c>
      <c r="F158" s="58" t="str">
        <f>keiyakuid145&amp;""</f>
        <v/>
      </c>
      <c r="I158" t="str">
        <f>IF(accelikkatsu145="","希望しない",accelikkatsu145)</f>
        <v>希望しない</v>
      </c>
      <c r="J158" t="str">
        <f>IF(belugabunyn145="","なし",belugabunyn145)</f>
        <v>なし</v>
      </c>
      <c r="K158" s="59" t="str">
        <f>belugabun145&amp;""</f>
        <v/>
      </c>
      <c r="L158" t="b">
        <f>shutoku145</f>
        <v>0</v>
      </c>
    </row>
    <row r="159" spans="1:12">
      <c r="A159">
        <v>146</v>
      </c>
      <c r="C159" t="str">
        <f>shubetsu146&amp;""</f>
        <v/>
      </c>
      <c r="D159" s="58" t="str">
        <f>billid146&amp;""</f>
        <v/>
      </c>
      <c r="E159" s="58" t="str">
        <f>UPPER(SUBSTITUTE(番明[[#This Row],[ご請求番号]],"-",""))</f>
        <v/>
      </c>
      <c r="F159" s="58" t="str">
        <f>keiyakuid146&amp;""</f>
        <v/>
      </c>
      <c r="I159" t="str">
        <f>IF(accelikkatsu146="","希望しない",accelikkatsu146)</f>
        <v>希望しない</v>
      </c>
      <c r="J159" t="str">
        <f>IF(belugabunyn146="","なし",belugabunyn146)</f>
        <v>なし</v>
      </c>
      <c r="K159" s="59" t="str">
        <f>belugabun146&amp;""</f>
        <v/>
      </c>
      <c r="L159" t="b">
        <f>shutoku146</f>
        <v>0</v>
      </c>
    </row>
    <row r="160" spans="1:12">
      <c r="A160">
        <v>147</v>
      </c>
      <c r="C160" t="str">
        <f>shubetsu147&amp;""</f>
        <v/>
      </c>
      <c r="D160" s="58" t="str">
        <f>billid147&amp;""</f>
        <v/>
      </c>
      <c r="E160" s="58" t="str">
        <f>UPPER(SUBSTITUTE(番明[[#This Row],[ご請求番号]],"-",""))</f>
        <v/>
      </c>
      <c r="F160" s="58" t="str">
        <f>keiyakuid147&amp;""</f>
        <v/>
      </c>
      <c r="I160" t="str">
        <f>IF(accelikkatsu147="","希望しない",accelikkatsu147)</f>
        <v>希望しない</v>
      </c>
      <c r="J160" t="str">
        <f>IF(belugabunyn147="","なし",belugabunyn147)</f>
        <v>なし</v>
      </c>
      <c r="K160" s="59" t="str">
        <f>belugabun147&amp;""</f>
        <v/>
      </c>
      <c r="L160" t="b">
        <f>shutoku147</f>
        <v>0</v>
      </c>
    </row>
    <row r="161" spans="1:12">
      <c r="A161">
        <v>148</v>
      </c>
      <c r="C161" t="str">
        <f>shubetsu148&amp;""</f>
        <v/>
      </c>
      <c r="D161" s="58" t="str">
        <f>billid148&amp;""</f>
        <v/>
      </c>
      <c r="E161" s="58" t="str">
        <f>UPPER(SUBSTITUTE(番明[[#This Row],[ご請求番号]],"-",""))</f>
        <v/>
      </c>
      <c r="F161" s="58" t="str">
        <f>keiyakuid148&amp;""</f>
        <v/>
      </c>
      <c r="I161" t="str">
        <f>IF(accelikkatsu148="","希望しない",accelikkatsu148)</f>
        <v>希望しない</v>
      </c>
      <c r="J161" t="str">
        <f>IF(belugabunyn148="","なし",belugabunyn148)</f>
        <v>なし</v>
      </c>
      <c r="K161" s="59" t="str">
        <f>belugabun148&amp;""</f>
        <v/>
      </c>
      <c r="L161" t="b">
        <f>shutoku148</f>
        <v>0</v>
      </c>
    </row>
    <row r="162" spans="1:12">
      <c r="A162">
        <v>149</v>
      </c>
      <c r="C162" t="str">
        <f>shubetsu149&amp;""</f>
        <v/>
      </c>
      <c r="D162" s="58" t="str">
        <f>billid149&amp;""</f>
        <v/>
      </c>
      <c r="E162" s="58" t="str">
        <f>UPPER(SUBSTITUTE(番明[[#This Row],[ご請求番号]],"-",""))</f>
        <v/>
      </c>
      <c r="F162" s="58" t="str">
        <f>keiyakuid149&amp;""</f>
        <v/>
      </c>
      <c r="I162" t="str">
        <f>IF(accelikkatsu149="","希望しない",accelikkatsu149)</f>
        <v>希望しない</v>
      </c>
      <c r="J162" t="str">
        <f>IF(belugabunyn149="","なし",belugabunyn149)</f>
        <v>なし</v>
      </c>
      <c r="K162" s="59" t="str">
        <f>belugabun149&amp;""</f>
        <v/>
      </c>
      <c r="L162" t="b">
        <f>shutoku149</f>
        <v>0</v>
      </c>
    </row>
    <row r="163" spans="1:12">
      <c r="A163">
        <v>150</v>
      </c>
      <c r="C163" t="str">
        <f>shubetsu150&amp;""</f>
        <v/>
      </c>
      <c r="D163" s="58" t="str">
        <f>billid150&amp;""</f>
        <v/>
      </c>
      <c r="E163" s="58" t="str">
        <f>UPPER(SUBSTITUTE(番明[[#This Row],[ご請求番号]],"-",""))</f>
        <v/>
      </c>
      <c r="F163" s="58" t="str">
        <f>keiyakuid150&amp;""</f>
        <v/>
      </c>
      <c r="I163" t="str">
        <f>IF(accelikkatsu150="","希望しない",accelikkatsu150)</f>
        <v>希望しない</v>
      </c>
      <c r="J163" t="str">
        <f>IF(belugabunyn150="","なし",belugabunyn150)</f>
        <v>なし</v>
      </c>
      <c r="K163" s="59" t="str">
        <f>belugabun150&amp;""</f>
        <v/>
      </c>
      <c r="L163" t="b">
        <f>shutoku150</f>
        <v>0</v>
      </c>
    </row>
    <row r="164" spans="1:12">
      <c r="A164">
        <v>151</v>
      </c>
      <c r="C164" t="str">
        <f>shubetsu151&amp;""</f>
        <v/>
      </c>
      <c r="D164" s="58" t="str">
        <f>billid151&amp;""</f>
        <v/>
      </c>
      <c r="E164" s="58" t="str">
        <f>UPPER(SUBSTITUTE(番明[[#This Row],[ご請求番号]],"-",""))</f>
        <v/>
      </c>
      <c r="F164" s="58" t="str">
        <f>keiyakuid151&amp;""</f>
        <v/>
      </c>
      <c r="I164" t="str">
        <f>IF(accelikkatsu151="","希望しない",accelikkatsu151)</f>
        <v>希望しない</v>
      </c>
      <c r="J164" t="str">
        <f>IF(belugabunyn151="","なし",belugabunyn151)</f>
        <v>なし</v>
      </c>
      <c r="K164" s="59" t="str">
        <f>belugabun151&amp;""</f>
        <v/>
      </c>
      <c r="L164" t="b">
        <f>shutoku151</f>
        <v>0</v>
      </c>
    </row>
    <row r="165" spans="1:12">
      <c r="A165">
        <v>152</v>
      </c>
      <c r="C165" t="str">
        <f>shubetsu152&amp;""</f>
        <v/>
      </c>
      <c r="D165" s="58" t="str">
        <f>billid152&amp;""</f>
        <v/>
      </c>
      <c r="E165" s="58" t="str">
        <f>UPPER(SUBSTITUTE(番明[[#This Row],[ご請求番号]],"-",""))</f>
        <v/>
      </c>
      <c r="F165" s="58" t="str">
        <f>keiyakuid152&amp;""</f>
        <v/>
      </c>
      <c r="I165" t="str">
        <f>IF(accelikkatsu152="","希望しない",accelikkatsu152)</f>
        <v>希望しない</v>
      </c>
      <c r="J165" t="str">
        <f>IF(belugabunyn152="","なし",belugabunyn152)</f>
        <v>なし</v>
      </c>
      <c r="K165" s="59" t="str">
        <f>belugabun152&amp;""</f>
        <v/>
      </c>
      <c r="L165" t="b">
        <f>shutoku152</f>
        <v>0</v>
      </c>
    </row>
    <row r="166" spans="1:12">
      <c r="A166">
        <v>153</v>
      </c>
      <c r="C166" t="str">
        <f>shubetsu153&amp;""</f>
        <v/>
      </c>
      <c r="D166" s="58" t="str">
        <f>billid153&amp;""</f>
        <v/>
      </c>
      <c r="E166" s="58" t="str">
        <f>UPPER(SUBSTITUTE(番明[[#This Row],[ご請求番号]],"-",""))</f>
        <v/>
      </c>
      <c r="F166" s="58" t="str">
        <f>keiyakuid153&amp;""</f>
        <v/>
      </c>
      <c r="I166" t="str">
        <f>IF(accelikkatsu153="","希望しない",accelikkatsu153)</f>
        <v>希望しない</v>
      </c>
      <c r="J166" t="str">
        <f>IF(belugabunyn153="","なし",belugabunyn153)</f>
        <v>なし</v>
      </c>
      <c r="K166" s="59" t="str">
        <f>belugabun153&amp;""</f>
        <v/>
      </c>
      <c r="L166" t="b">
        <f>shutoku153</f>
        <v>0</v>
      </c>
    </row>
    <row r="167" spans="1:12">
      <c r="A167">
        <v>154</v>
      </c>
      <c r="C167" t="str">
        <f>shubetsu154&amp;""</f>
        <v/>
      </c>
      <c r="D167" s="58" t="str">
        <f>billid154&amp;""</f>
        <v/>
      </c>
      <c r="E167" s="58" t="str">
        <f>UPPER(SUBSTITUTE(番明[[#This Row],[ご請求番号]],"-",""))</f>
        <v/>
      </c>
      <c r="F167" s="58" t="str">
        <f>keiyakuid154&amp;""</f>
        <v/>
      </c>
      <c r="I167" t="str">
        <f>IF(accelikkatsu154="","希望しない",accelikkatsu154)</f>
        <v>希望しない</v>
      </c>
      <c r="J167" t="str">
        <f>IF(belugabunyn154="","なし",belugabunyn154)</f>
        <v>なし</v>
      </c>
      <c r="K167" s="59" t="str">
        <f>belugabun154&amp;""</f>
        <v/>
      </c>
      <c r="L167" t="b">
        <f>shutoku154</f>
        <v>0</v>
      </c>
    </row>
    <row r="168" spans="1:12">
      <c r="A168">
        <v>155</v>
      </c>
      <c r="C168" t="str">
        <f>shubetsu155&amp;""</f>
        <v/>
      </c>
      <c r="D168" s="58" t="str">
        <f>billid155&amp;""</f>
        <v/>
      </c>
      <c r="E168" s="58" t="str">
        <f>UPPER(SUBSTITUTE(番明[[#This Row],[ご請求番号]],"-",""))</f>
        <v/>
      </c>
      <c r="F168" s="58" t="str">
        <f>keiyakuid155&amp;""</f>
        <v/>
      </c>
      <c r="I168" t="str">
        <f>IF(accelikkatsu155="","希望しない",accelikkatsu155)</f>
        <v>希望しない</v>
      </c>
      <c r="J168" t="str">
        <f>IF(belugabunyn155="","なし",belugabunyn155)</f>
        <v>なし</v>
      </c>
      <c r="K168" s="59" t="str">
        <f>belugabun155&amp;""</f>
        <v/>
      </c>
      <c r="L168" t="b">
        <f>shutoku155</f>
        <v>0</v>
      </c>
    </row>
    <row r="169" spans="1:12">
      <c r="A169">
        <v>156</v>
      </c>
      <c r="C169" t="str">
        <f>shubetsu156&amp;""</f>
        <v/>
      </c>
      <c r="D169" s="58" t="str">
        <f>billid156&amp;""</f>
        <v/>
      </c>
      <c r="E169" s="58" t="str">
        <f>UPPER(SUBSTITUTE(番明[[#This Row],[ご請求番号]],"-",""))</f>
        <v/>
      </c>
      <c r="F169" s="58" t="str">
        <f>keiyakuid156&amp;""</f>
        <v/>
      </c>
      <c r="I169" t="str">
        <f>IF(accelikkatsu156="","希望しない",accelikkatsu156)</f>
        <v>希望しない</v>
      </c>
      <c r="J169" t="str">
        <f>IF(belugabunyn156="","なし",belugabunyn156)</f>
        <v>なし</v>
      </c>
      <c r="K169" s="59" t="str">
        <f>belugabun156&amp;""</f>
        <v/>
      </c>
      <c r="L169" t="b">
        <f>shutoku156</f>
        <v>0</v>
      </c>
    </row>
    <row r="170" spans="1:12">
      <c r="A170">
        <v>157</v>
      </c>
      <c r="C170" t="str">
        <f>shubetsu157&amp;""</f>
        <v/>
      </c>
      <c r="D170" s="58" t="str">
        <f>billid157&amp;""</f>
        <v/>
      </c>
      <c r="E170" s="58" t="str">
        <f>UPPER(SUBSTITUTE(番明[[#This Row],[ご請求番号]],"-",""))</f>
        <v/>
      </c>
      <c r="F170" s="58" t="str">
        <f>keiyakuid157&amp;""</f>
        <v/>
      </c>
      <c r="I170" t="str">
        <f>IF(accelikkatsu157="","希望しない",accelikkatsu157)</f>
        <v>希望しない</v>
      </c>
      <c r="J170" t="str">
        <f>IF(belugabunyn157="","なし",belugabunyn157)</f>
        <v>なし</v>
      </c>
      <c r="K170" s="59" t="str">
        <f>belugabun157&amp;""</f>
        <v/>
      </c>
      <c r="L170" t="b">
        <f>shutoku157</f>
        <v>0</v>
      </c>
    </row>
    <row r="171" spans="1:12">
      <c r="A171">
        <v>158</v>
      </c>
      <c r="C171" t="str">
        <f>shubetsu158&amp;""</f>
        <v/>
      </c>
      <c r="D171" s="58" t="str">
        <f>billid158&amp;""</f>
        <v/>
      </c>
      <c r="E171" s="58" t="str">
        <f>UPPER(SUBSTITUTE(番明[[#This Row],[ご請求番号]],"-",""))</f>
        <v/>
      </c>
      <c r="F171" s="58" t="str">
        <f>keiyakuid158&amp;""</f>
        <v/>
      </c>
      <c r="I171" t="str">
        <f>IF(accelikkatsu158="","希望しない",accelikkatsu158)</f>
        <v>希望しない</v>
      </c>
      <c r="J171" t="str">
        <f>IF(belugabunyn158="","なし",belugabunyn158)</f>
        <v>なし</v>
      </c>
      <c r="K171" s="59" t="str">
        <f>belugabun158&amp;""</f>
        <v/>
      </c>
      <c r="L171" t="b">
        <f>shutoku158</f>
        <v>0</v>
      </c>
    </row>
    <row r="172" spans="1:12">
      <c r="A172">
        <v>159</v>
      </c>
      <c r="C172" t="str">
        <f>shubetsu159&amp;""</f>
        <v/>
      </c>
      <c r="D172" s="58" t="str">
        <f>billid159&amp;""</f>
        <v/>
      </c>
      <c r="E172" s="58" t="str">
        <f>UPPER(SUBSTITUTE(番明[[#This Row],[ご請求番号]],"-",""))</f>
        <v/>
      </c>
      <c r="F172" s="58" t="str">
        <f>keiyakuid159&amp;""</f>
        <v/>
      </c>
      <c r="I172" t="str">
        <f>IF(accelikkatsu159="","希望しない",accelikkatsu159)</f>
        <v>希望しない</v>
      </c>
      <c r="J172" t="str">
        <f>IF(belugabunyn159="","なし",belugabunyn159)</f>
        <v>なし</v>
      </c>
      <c r="K172" s="59" t="str">
        <f>belugabun159&amp;""</f>
        <v/>
      </c>
      <c r="L172" t="b">
        <f>shutoku159</f>
        <v>0</v>
      </c>
    </row>
    <row r="173" spans="1:12">
      <c r="A173">
        <v>160</v>
      </c>
      <c r="C173" t="str">
        <f>shubetsu160&amp;""</f>
        <v/>
      </c>
      <c r="D173" s="58" t="str">
        <f>billid160&amp;""</f>
        <v/>
      </c>
      <c r="E173" s="58" t="str">
        <f>UPPER(SUBSTITUTE(番明[[#This Row],[ご請求番号]],"-",""))</f>
        <v/>
      </c>
      <c r="F173" s="58" t="str">
        <f>keiyakuid160&amp;""</f>
        <v/>
      </c>
      <c r="I173" t="str">
        <f>IF(accelikkatsu160="","希望しない",accelikkatsu160)</f>
        <v>希望しない</v>
      </c>
      <c r="J173" t="str">
        <f>IF(belugabunyn160="","なし",belugabunyn160)</f>
        <v>なし</v>
      </c>
      <c r="K173" s="59" t="str">
        <f>belugabun160&amp;""</f>
        <v/>
      </c>
      <c r="L173" t="b">
        <f>shutoku160</f>
        <v>0</v>
      </c>
    </row>
    <row r="174" spans="1:12">
      <c r="A174">
        <v>161</v>
      </c>
      <c r="C174" t="str">
        <f>shubetsu161&amp;""</f>
        <v/>
      </c>
      <c r="D174" s="58" t="str">
        <f>billid161&amp;""</f>
        <v/>
      </c>
      <c r="E174" s="58" t="str">
        <f>UPPER(SUBSTITUTE(番明[[#This Row],[ご請求番号]],"-",""))</f>
        <v/>
      </c>
      <c r="F174" s="58" t="str">
        <f>keiyakuid161&amp;""</f>
        <v/>
      </c>
      <c r="I174" t="str">
        <f>IF(accelikkatsu161="","希望しない",accelikkatsu161)</f>
        <v>希望しない</v>
      </c>
      <c r="J174" t="str">
        <f>IF(belugabunyn161="","なし",belugabunyn161)</f>
        <v>なし</v>
      </c>
      <c r="K174" s="59" t="str">
        <f>belugabun161&amp;""</f>
        <v/>
      </c>
      <c r="L174" t="b">
        <f>shutoku161</f>
        <v>0</v>
      </c>
    </row>
    <row r="175" spans="1:12">
      <c r="A175">
        <v>162</v>
      </c>
      <c r="C175" t="str">
        <f>shubetsu162&amp;""</f>
        <v/>
      </c>
      <c r="D175" s="58" t="str">
        <f>billid162&amp;""</f>
        <v/>
      </c>
      <c r="E175" s="58" t="str">
        <f>UPPER(SUBSTITUTE(番明[[#This Row],[ご請求番号]],"-",""))</f>
        <v/>
      </c>
      <c r="F175" s="58" t="str">
        <f>keiyakuid162&amp;""</f>
        <v/>
      </c>
      <c r="I175" t="str">
        <f>IF(accelikkatsu162="","希望しない",accelikkatsu162)</f>
        <v>希望しない</v>
      </c>
      <c r="J175" t="str">
        <f>IF(belugabunyn162="","なし",belugabunyn162)</f>
        <v>なし</v>
      </c>
      <c r="K175" s="59" t="str">
        <f>belugabun162&amp;""</f>
        <v/>
      </c>
      <c r="L175" t="b">
        <f>shutoku162</f>
        <v>0</v>
      </c>
    </row>
    <row r="176" spans="1:12">
      <c r="A176">
        <v>163</v>
      </c>
      <c r="C176" t="str">
        <f>shubetsu163&amp;""</f>
        <v/>
      </c>
      <c r="D176" s="58" t="str">
        <f>billid163&amp;""</f>
        <v/>
      </c>
      <c r="E176" s="58" t="str">
        <f>UPPER(SUBSTITUTE(番明[[#This Row],[ご請求番号]],"-",""))</f>
        <v/>
      </c>
      <c r="F176" s="58" t="str">
        <f>keiyakuid163&amp;""</f>
        <v/>
      </c>
      <c r="I176" t="str">
        <f>IF(accelikkatsu163="","希望しない",accelikkatsu163)</f>
        <v>希望しない</v>
      </c>
      <c r="J176" t="str">
        <f>IF(belugabunyn163="","なし",belugabunyn163)</f>
        <v>なし</v>
      </c>
      <c r="K176" s="59" t="str">
        <f>belugabun163&amp;""</f>
        <v/>
      </c>
      <c r="L176" t="b">
        <f>shutoku163</f>
        <v>0</v>
      </c>
    </row>
    <row r="177" spans="1:12">
      <c r="A177">
        <v>164</v>
      </c>
      <c r="C177" t="str">
        <f>shubetsu164&amp;""</f>
        <v/>
      </c>
      <c r="D177" s="58" t="str">
        <f>billid164&amp;""</f>
        <v/>
      </c>
      <c r="E177" s="58" t="str">
        <f>UPPER(SUBSTITUTE(番明[[#This Row],[ご請求番号]],"-",""))</f>
        <v/>
      </c>
      <c r="F177" s="58" t="str">
        <f>keiyakuid164&amp;""</f>
        <v/>
      </c>
      <c r="I177" t="str">
        <f>IF(accelikkatsu164="","希望しない",accelikkatsu164)</f>
        <v>希望しない</v>
      </c>
      <c r="J177" t="str">
        <f>IF(belugabunyn164="","なし",belugabunyn164)</f>
        <v>なし</v>
      </c>
      <c r="K177" s="59" t="str">
        <f>belugabun164&amp;""</f>
        <v/>
      </c>
      <c r="L177" t="b">
        <f>shutoku164</f>
        <v>0</v>
      </c>
    </row>
    <row r="178" spans="1:12">
      <c r="A178">
        <v>165</v>
      </c>
      <c r="C178" t="str">
        <f>shubetsu165&amp;""</f>
        <v/>
      </c>
      <c r="D178" s="58" t="str">
        <f>billid165&amp;""</f>
        <v/>
      </c>
      <c r="E178" s="58" t="str">
        <f>UPPER(SUBSTITUTE(番明[[#This Row],[ご請求番号]],"-",""))</f>
        <v/>
      </c>
      <c r="F178" s="58" t="str">
        <f>keiyakuid165&amp;""</f>
        <v/>
      </c>
      <c r="I178" t="str">
        <f>IF(accelikkatsu165="","希望しない",accelikkatsu165)</f>
        <v>希望しない</v>
      </c>
      <c r="J178" t="str">
        <f>IF(belugabunyn165="","なし",belugabunyn165)</f>
        <v>なし</v>
      </c>
      <c r="K178" s="59" t="str">
        <f>belugabun165&amp;""</f>
        <v/>
      </c>
      <c r="L178" t="b">
        <f>shutoku165</f>
        <v>0</v>
      </c>
    </row>
    <row r="179" spans="1:12">
      <c r="A179">
        <v>166</v>
      </c>
      <c r="C179" t="str">
        <f>shubetsu166&amp;""</f>
        <v/>
      </c>
      <c r="D179" s="58" t="str">
        <f>billid166&amp;""</f>
        <v/>
      </c>
      <c r="E179" s="58" t="str">
        <f>UPPER(SUBSTITUTE(番明[[#This Row],[ご請求番号]],"-",""))</f>
        <v/>
      </c>
      <c r="F179" s="58" t="str">
        <f>keiyakuid166&amp;""</f>
        <v/>
      </c>
      <c r="I179" t="str">
        <f>IF(accelikkatsu166="","希望しない",accelikkatsu166)</f>
        <v>希望しない</v>
      </c>
      <c r="J179" t="str">
        <f>IF(belugabunyn166="","なし",belugabunyn166)</f>
        <v>なし</v>
      </c>
      <c r="K179" s="59" t="str">
        <f>belugabun166&amp;""</f>
        <v/>
      </c>
      <c r="L179" t="b">
        <f>shutoku166</f>
        <v>0</v>
      </c>
    </row>
    <row r="180" spans="1:12">
      <c r="A180">
        <v>167</v>
      </c>
      <c r="C180" t="str">
        <f>shubetsu167&amp;""</f>
        <v/>
      </c>
      <c r="D180" s="58" t="str">
        <f>billid167&amp;""</f>
        <v/>
      </c>
      <c r="E180" s="58" t="str">
        <f>UPPER(SUBSTITUTE(番明[[#This Row],[ご請求番号]],"-",""))</f>
        <v/>
      </c>
      <c r="F180" s="58" t="str">
        <f>keiyakuid167&amp;""</f>
        <v/>
      </c>
      <c r="I180" t="str">
        <f>IF(accelikkatsu167="","希望しない",accelikkatsu167)</f>
        <v>希望しない</v>
      </c>
      <c r="J180" t="str">
        <f>IF(belugabunyn167="","なし",belugabunyn167)</f>
        <v>なし</v>
      </c>
      <c r="K180" s="59" t="str">
        <f>belugabun167&amp;""</f>
        <v/>
      </c>
      <c r="L180" t="b">
        <f>shutoku167</f>
        <v>0</v>
      </c>
    </row>
    <row r="181" spans="1:12">
      <c r="A181">
        <v>168</v>
      </c>
      <c r="C181" t="str">
        <f>shubetsu168&amp;""</f>
        <v/>
      </c>
      <c r="D181" s="58" t="str">
        <f>billid168&amp;""</f>
        <v/>
      </c>
      <c r="E181" s="58" t="str">
        <f>UPPER(SUBSTITUTE(番明[[#This Row],[ご請求番号]],"-",""))</f>
        <v/>
      </c>
      <c r="F181" s="58" t="str">
        <f>keiyakuid168&amp;""</f>
        <v/>
      </c>
      <c r="I181" t="str">
        <f>IF(accelikkatsu168="","希望しない",accelikkatsu168)</f>
        <v>希望しない</v>
      </c>
      <c r="J181" t="str">
        <f>IF(belugabunyn168="","なし",belugabunyn168)</f>
        <v>なし</v>
      </c>
      <c r="K181" s="59" t="str">
        <f>belugabun168&amp;""</f>
        <v/>
      </c>
      <c r="L181" t="b">
        <f>shutoku168</f>
        <v>0</v>
      </c>
    </row>
    <row r="182" spans="1:12">
      <c r="A182">
        <v>169</v>
      </c>
      <c r="C182" t="str">
        <f>shubetsu169&amp;""</f>
        <v/>
      </c>
      <c r="D182" s="58" t="str">
        <f>billid169&amp;""</f>
        <v/>
      </c>
      <c r="E182" s="58" t="str">
        <f>UPPER(SUBSTITUTE(番明[[#This Row],[ご請求番号]],"-",""))</f>
        <v/>
      </c>
      <c r="F182" s="58" t="str">
        <f>keiyakuid169&amp;""</f>
        <v/>
      </c>
      <c r="I182" t="str">
        <f>IF(accelikkatsu169="","希望しない",accelikkatsu169)</f>
        <v>希望しない</v>
      </c>
      <c r="J182" t="str">
        <f>IF(belugabunyn169="","なし",belugabunyn169)</f>
        <v>なし</v>
      </c>
      <c r="K182" s="59" t="str">
        <f>belugabun169&amp;""</f>
        <v/>
      </c>
      <c r="L182" t="b">
        <f>shutoku169</f>
        <v>0</v>
      </c>
    </row>
    <row r="183" spans="1:12">
      <c r="A183">
        <v>170</v>
      </c>
      <c r="C183" t="str">
        <f>shubetsu170&amp;""</f>
        <v/>
      </c>
      <c r="D183" s="58" t="str">
        <f>billid170&amp;""</f>
        <v/>
      </c>
      <c r="E183" s="58" t="str">
        <f>UPPER(SUBSTITUTE(番明[[#This Row],[ご請求番号]],"-",""))</f>
        <v/>
      </c>
      <c r="F183" s="58" t="str">
        <f>keiyakuid170&amp;""</f>
        <v/>
      </c>
      <c r="I183" t="str">
        <f>IF(accelikkatsu170="","希望しない",accelikkatsu170)</f>
        <v>希望しない</v>
      </c>
      <c r="J183" t="str">
        <f>IF(belugabunyn170="","なし",belugabunyn170)</f>
        <v>なし</v>
      </c>
      <c r="K183" s="59" t="str">
        <f>belugabun170&amp;""</f>
        <v/>
      </c>
      <c r="L183" t="b">
        <f>shutoku170</f>
        <v>0</v>
      </c>
    </row>
    <row r="184" spans="1:12">
      <c r="A184">
        <v>171</v>
      </c>
      <c r="C184" t="str">
        <f>shubetsu171&amp;""</f>
        <v/>
      </c>
      <c r="D184" s="58" t="str">
        <f>billid171&amp;""</f>
        <v/>
      </c>
      <c r="E184" s="58" t="str">
        <f>UPPER(SUBSTITUTE(番明[[#This Row],[ご請求番号]],"-",""))</f>
        <v/>
      </c>
      <c r="F184" s="58" t="str">
        <f>keiyakuid171&amp;""</f>
        <v/>
      </c>
      <c r="I184" t="str">
        <f>IF(accelikkatsu171="","希望しない",accelikkatsu171)</f>
        <v>希望しない</v>
      </c>
      <c r="J184" t="str">
        <f>IF(belugabunyn171="","なし",belugabunyn171)</f>
        <v>なし</v>
      </c>
      <c r="K184" s="59" t="str">
        <f>belugabun171&amp;""</f>
        <v/>
      </c>
      <c r="L184" t="b">
        <f>shutoku171</f>
        <v>0</v>
      </c>
    </row>
    <row r="185" spans="1:12">
      <c r="A185">
        <v>172</v>
      </c>
      <c r="C185" t="str">
        <f>shubetsu172&amp;""</f>
        <v/>
      </c>
      <c r="D185" s="58" t="str">
        <f>billid172&amp;""</f>
        <v/>
      </c>
      <c r="E185" s="58" t="str">
        <f>UPPER(SUBSTITUTE(番明[[#This Row],[ご請求番号]],"-",""))</f>
        <v/>
      </c>
      <c r="F185" s="58" t="str">
        <f>keiyakuid172&amp;""</f>
        <v/>
      </c>
      <c r="I185" t="str">
        <f>IF(accelikkatsu172="","希望しない",accelikkatsu172)</f>
        <v>希望しない</v>
      </c>
      <c r="J185" t="str">
        <f>IF(belugabunyn172="","なし",belugabunyn172)</f>
        <v>なし</v>
      </c>
      <c r="K185" s="59" t="str">
        <f>belugabun172&amp;""</f>
        <v/>
      </c>
      <c r="L185" t="b">
        <f>shutoku172</f>
        <v>0</v>
      </c>
    </row>
    <row r="186" spans="1:12">
      <c r="A186">
        <v>173</v>
      </c>
      <c r="C186" t="str">
        <f>shubetsu173&amp;""</f>
        <v/>
      </c>
      <c r="D186" s="58" t="str">
        <f>billid173&amp;""</f>
        <v/>
      </c>
      <c r="E186" s="58" t="str">
        <f>UPPER(SUBSTITUTE(番明[[#This Row],[ご請求番号]],"-",""))</f>
        <v/>
      </c>
      <c r="F186" s="58" t="str">
        <f>keiyakuid173&amp;""</f>
        <v/>
      </c>
      <c r="I186" t="str">
        <f>IF(accelikkatsu173="","希望しない",accelikkatsu173)</f>
        <v>希望しない</v>
      </c>
      <c r="J186" t="str">
        <f>IF(belugabunyn173="","なし",belugabunyn173)</f>
        <v>なし</v>
      </c>
      <c r="K186" s="59" t="str">
        <f>belugabun173&amp;""</f>
        <v/>
      </c>
      <c r="L186" t="b">
        <f>shutoku173</f>
        <v>0</v>
      </c>
    </row>
    <row r="187" spans="1:12">
      <c r="A187">
        <v>174</v>
      </c>
      <c r="C187" t="str">
        <f>shubetsu174&amp;""</f>
        <v/>
      </c>
      <c r="D187" s="58" t="str">
        <f>billid174&amp;""</f>
        <v/>
      </c>
      <c r="E187" s="58" t="str">
        <f>UPPER(SUBSTITUTE(番明[[#This Row],[ご請求番号]],"-",""))</f>
        <v/>
      </c>
      <c r="F187" s="58" t="str">
        <f>keiyakuid174&amp;""</f>
        <v/>
      </c>
      <c r="I187" t="str">
        <f>IF(accelikkatsu174="","希望しない",accelikkatsu174)</f>
        <v>希望しない</v>
      </c>
      <c r="J187" t="str">
        <f>IF(belugabunyn174="","なし",belugabunyn174)</f>
        <v>なし</v>
      </c>
      <c r="K187" s="59" t="str">
        <f>belugabun174&amp;""</f>
        <v/>
      </c>
      <c r="L187" t="b">
        <f>shutoku174</f>
        <v>0</v>
      </c>
    </row>
    <row r="188" spans="1:12">
      <c r="A188">
        <v>175</v>
      </c>
      <c r="C188" t="str">
        <f>shubetsu175&amp;""</f>
        <v/>
      </c>
      <c r="D188" s="58" t="str">
        <f>billid175&amp;""</f>
        <v/>
      </c>
      <c r="E188" s="58" t="str">
        <f>UPPER(SUBSTITUTE(番明[[#This Row],[ご請求番号]],"-",""))</f>
        <v/>
      </c>
      <c r="F188" s="58" t="str">
        <f>keiyakuid175&amp;""</f>
        <v/>
      </c>
      <c r="I188" t="str">
        <f>IF(accelikkatsu175="","希望しない",accelikkatsu175)</f>
        <v>希望しない</v>
      </c>
      <c r="J188" t="str">
        <f>IF(belugabunyn175="","なし",belugabunyn175)</f>
        <v>なし</v>
      </c>
      <c r="K188" s="59" t="str">
        <f>belugabun175&amp;""</f>
        <v/>
      </c>
      <c r="L188" t="b">
        <f>shutoku175</f>
        <v>0</v>
      </c>
    </row>
    <row r="189" spans="1:12">
      <c r="A189">
        <v>176</v>
      </c>
      <c r="C189" t="str">
        <f>shubetsu176&amp;""</f>
        <v/>
      </c>
      <c r="D189" s="58" t="str">
        <f>billid176&amp;""</f>
        <v/>
      </c>
      <c r="E189" s="58" t="str">
        <f>UPPER(SUBSTITUTE(番明[[#This Row],[ご請求番号]],"-",""))</f>
        <v/>
      </c>
      <c r="F189" s="58" t="str">
        <f>keiyakuid176&amp;""</f>
        <v/>
      </c>
      <c r="I189" t="str">
        <f>IF(accelikkatsu176="","希望しない",accelikkatsu176)</f>
        <v>希望しない</v>
      </c>
      <c r="J189" t="str">
        <f>IF(belugabunyn176="","なし",belugabunyn176)</f>
        <v>なし</v>
      </c>
      <c r="K189" s="59" t="str">
        <f>belugabun176&amp;""</f>
        <v/>
      </c>
      <c r="L189" t="b">
        <f>shutoku176</f>
        <v>0</v>
      </c>
    </row>
    <row r="190" spans="1:12">
      <c r="A190">
        <v>177</v>
      </c>
      <c r="C190" t="str">
        <f>shubetsu177&amp;""</f>
        <v/>
      </c>
      <c r="D190" s="58" t="str">
        <f>billid177&amp;""</f>
        <v/>
      </c>
      <c r="E190" s="58" t="str">
        <f>UPPER(SUBSTITUTE(番明[[#This Row],[ご請求番号]],"-",""))</f>
        <v/>
      </c>
      <c r="F190" s="58" t="str">
        <f>keiyakuid177&amp;""</f>
        <v/>
      </c>
      <c r="I190" t="str">
        <f>IF(accelikkatsu177="","希望しない",accelikkatsu177)</f>
        <v>希望しない</v>
      </c>
      <c r="J190" t="str">
        <f>IF(belugabunyn177="","なし",belugabunyn177)</f>
        <v>なし</v>
      </c>
      <c r="K190" s="59" t="str">
        <f>belugabun177&amp;""</f>
        <v/>
      </c>
      <c r="L190" t="b">
        <f>shutoku177</f>
        <v>0</v>
      </c>
    </row>
    <row r="191" spans="1:12">
      <c r="A191">
        <v>178</v>
      </c>
      <c r="C191" t="str">
        <f>shubetsu178&amp;""</f>
        <v/>
      </c>
      <c r="D191" s="58" t="str">
        <f>billid178&amp;""</f>
        <v/>
      </c>
      <c r="E191" s="58" t="str">
        <f>UPPER(SUBSTITUTE(番明[[#This Row],[ご請求番号]],"-",""))</f>
        <v/>
      </c>
      <c r="F191" s="58" t="str">
        <f>keiyakuid178&amp;""</f>
        <v/>
      </c>
      <c r="I191" t="str">
        <f>IF(accelikkatsu178="","希望しない",accelikkatsu178)</f>
        <v>希望しない</v>
      </c>
      <c r="J191" t="str">
        <f>IF(belugabunyn178="","なし",belugabunyn178)</f>
        <v>なし</v>
      </c>
      <c r="K191" s="59" t="str">
        <f>belugabun178&amp;""</f>
        <v/>
      </c>
      <c r="L191" t="b">
        <f>shutoku178</f>
        <v>0</v>
      </c>
    </row>
    <row r="192" spans="1:12">
      <c r="A192">
        <v>179</v>
      </c>
      <c r="C192" t="str">
        <f>shubetsu179&amp;""</f>
        <v/>
      </c>
      <c r="D192" s="58" t="str">
        <f>billid179&amp;""</f>
        <v/>
      </c>
      <c r="E192" s="58" t="str">
        <f>UPPER(SUBSTITUTE(番明[[#This Row],[ご請求番号]],"-",""))</f>
        <v/>
      </c>
      <c r="F192" s="58" t="str">
        <f>keiyakuid179&amp;""</f>
        <v/>
      </c>
      <c r="I192" t="str">
        <f>IF(accelikkatsu179="","希望しない",accelikkatsu179)</f>
        <v>希望しない</v>
      </c>
      <c r="J192" t="str">
        <f>IF(belugabunyn179="","なし",belugabunyn179)</f>
        <v>なし</v>
      </c>
      <c r="K192" s="59" t="str">
        <f>belugabun179&amp;""</f>
        <v/>
      </c>
      <c r="L192" t="b">
        <f>shutoku179</f>
        <v>0</v>
      </c>
    </row>
    <row r="193" spans="1:12">
      <c r="A193">
        <v>180</v>
      </c>
      <c r="C193" t="str">
        <f>shubetsu180&amp;""</f>
        <v/>
      </c>
      <c r="D193" s="58" t="str">
        <f>billid180&amp;""</f>
        <v/>
      </c>
      <c r="E193" s="58" t="str">
        <f>UPPER(SUBSTITUTE(番明[[#This Row],[ご請求番号]],"-",""))</f>
        <v/>
      </c>
      <c r="F193" s="58" t="str">
        <f>keiyakuid180&amp;""</f>
        <v/>
      </c>
      <c r="I193" t="str">
        <f>IF(accelikkatsu180="","希望しない",accelikkatsu180)</f>
        <v>希望しない</v>
      </c>
      <c r="J193" t="str">
        <f>IF(belugabunyn180="","なし",belugabunyn180)</f>
        <v>なし</v>
      </c>
      <c r="K193" s="59" t="str">
        <f>belugabun180&amp;""</f>
        <v/>
      </c>
      <c r="L193" t="b">
        <f>shutoku180</f>
        <v>0</v>
      </c>
    </row>
    <row r="194" spans="1:12">
      <c r="A194">
        <v>181</v>
      </c>
      <c r="C194" t="str">
        <f>shubetsu181&amp;""</f>
        <v/>
      </c>
      <c r="D194" s="58" t="str">
        <f>billid181&amp;""</f>
        <v/>
      </c>
      <c r="E194" s="58" t="str">
        <f>UPPER(SUBSTITUTE(番明[[#This Row],[ご請求番号]],"-",""))</f>
        <v/>
      </c>
      <c r="F194" s="58" t="str">
        <f>keiyakuid181&amp;""</f>
        <v/>
      </c>
      <c r="I194" t="str">
        <f>IF(accelikkatsu181="","希望しない",accelikkatsu181)</f>
        <v>希望しない</v>
      </c>
      <c r="J194" t="str">
        <f>IF(belugabunyn181="","なし",belugabunyn181)</f>
        <v>なし</v>
      </c>
      <c r="K194" s="59" t="str">
        <f>belugabun181&amp;""</f>
        <v/>
      </c>
      <c r="L194" t="b">
        <f>shutoku181</f>
        <v>0</v>
      </c>
    </row>
    <row r="195" spans="1:12">
      <c r="A195">
        <v>182</v>
      </c>
      <c r="C195" t="str">
        <f>shubetsu182&amp;""</f>
        <v/>
      </c>
      <c r="D195" s="58" t="str">
        <f>billid182&amp;""</f>
        <v/>
      </c>
      <c r="E195" s="58" t="str">
        <f>UPPER(SUBSTITUTE(番明[[#This Row],[ご請求番号]],"-",""))</f>
        <v/>
      </c>
      <c r="F195" s="58" t="str">
        <f>keiyakuid182&amp;""</f>
        <v/>
      </c>
      <c r="I195" t="str">
        <f>IF(accelikkatsu182="","希望しない",accelikkatsu182)</f>
        <v>希望しない</v>
      </c>
      <c r="J195" t="str">
        <f>IF(belugabunyn182="","なし",belugabunyn182)</f>
        <v>なし</v>
      </c>
      <c r="K195" s="59" t="str">
        <f>belugabun182&amp;""</f>
        <v/>
      </c>
      <c r="L195" t="b">
        <f>shutoku182</f>
        <v>0</v>
      </c>
    </row>
    <row r="196" spans="1:12">
      <c r="A196">
        <v>183</v>
      </c>
      <c r="C196" t="str">
        <f>shubetsu183&amp;""</f>
        <v/>
      </c>
      <c r="D196" s="58" t="str">
        <f>billid183&amp;""</f>
        <v/>
      </c>
      <c r="E196" s="58" t="str">
        <f>UPPER(SUBSTITUTE(番明[[#This Row],[ご請求番号]],"-",""))</f>
        <v/>
      </c>
      <c r="F196" s="58" t="str">
        <f>keiyakuid183&amp;""</f>
        <v/>
      </c>
      <c r="I196" t="str">
        <f>IF(accelikkatsu183="","希望しない",accelikkatsu183)</f>
        <v>希望しない</v>
      </c>
      <c r="J196" t="str">
        <f>IF(belugabunyn183="","なし",belugabunyn183)</f>
        <v>なし</v>
      </c>
      <c r="K196" s="59" t="str">
        <f>belugabun183&amp;""</f>
        <v/>
      </c>
      <c r="L196" t="b">
        <f>shutoku183</f>
        <v>0</v>
      </c>
    </row>
    <row r="197" spans="1:12">
      <c r="A197">
        <v>184</v>
      </c>
      <c r="C197" t="str">
        <f>shubetsu184&amp;""</f>
        <v/>
      </c>
      <c r="D197" s="58" t="str">
        <f>billid184&amp;""</f>
        <v/>
      </c>
      <c r="E197" s="58" t="str">
        <f>UPPER(SUBSTITUTE(番明[[#This Row],[ご請求番号]],"-",""))</f>
        <v/>
      </c>
      <c r="F197" s="58" t="str">
        <f>keiyakuid184&amp;""</f>
        <v/>
      </c>
      <c r="I197" t="str">
        <f>IF(accelikkatsu184="","希望しない",accelikkatsu184)</f>
        <v>希望しない</v>
      </c>
      <c r="J197" t="str">
        <f>IF(belugabunyn184="","なし",belugabunyn184)</f>
        <v>なし</v>
      </c>
      <c r="K197" s="59" t="str">
        <f>belugabun184&amp;""</f>
        <v/>
      </c>
      <c r="L197" t="b">
        <f>shutoku184</f>
        <v>0</v>
      </c>
    </row>
    <row r="198" spans="1:12">
      <c r="A198">
        <v>185</v>
      </c>
      <c r="C198" t="str">
        <f>shubetsu185&amp;""</f>
        <v/>
      </c>
      <c r="D198" s="58" t="str">
        <f>billid185&amp;""</f>
        <v/>
      </c>
      <c r="E198" s="58" t="str">
        <f>UPPER(SUBSTITUTE(番明[[#This Row],[ご請求番号]],"-",""))</f>
        <v/>
      </c>
      <c r="F198" s="58" t="str">
        <f>keiyakuid185&amp;""</f>
        <v/>
      </c>
      <c r="I198" t="str">
        <f>IF(accelikkatsu185="","希望しない",accelikkatsu185)</f>
        <v>希望しない</v>
      </c>
      <c r="J198" t="str">
        <f>IF(belugabunyn185="","なし",belugabunyn185)</f>
        <v>なし</v>
      </c>
      <c r="K198" s="59" t="str">
        <f>belugabun185&amp;""</f>
        <v/>
      </c>
      <c r="L198" t="b">
        <f>shutoku185</f>
        <v>0</v>
      </c>
    </row>
    <row r="199" spans="1:12">
      <c r="A199">
        <v>186</v>
      </c>
      <c r="C199" t="str">
        <f>shubetsu186&amp;""</f>
        <v/>
      </c>
      <c r="D199" s="58" t="str">
        <f>billid186&amp;""</f>
        <v/>
      </c>
      <c r="E199" s="58" t="str">
        <f>UPPER(SUBSTITUTE(番明[[#This Row],[ご請求番号]],"-",""))</f>
        <v/>
      </c>
      <c r="F199" s="58" t="str">
        <f>keiyakuid186&amp;""</f>
        <v/>
      </c>
      <c r="I199" t="str">
        <f>IF(accelikkatsu186="","希望しない",accelikkatsu186)</f>
        <v>希望しない</v>
      </c>
      <c r="J199" t="str">
        <f>IF(belugabunyn186="","なし",belugabunyn186)</f>
        <v>なし</v>
      </c>
      <c r="K199" s="59" t="str">
        <f>belugabun186&amp;""</f>
        <v/>
      </c>
      <c r="L199" t="b">
        <f>shutoku186</f>
        <v>0</v>
      </c>
    </row>
    <row r="200" spans="1:12">
      <c r="A200">
        <v>187</v>
      </c>
      <c r="C200" t="str">
        <f>shubetsu187&amp;""</f>
        <v/>
      </c>
      <c r="D200" s="58" t="str">
        <f>billid187&amp;""</f>
        <v/>
      </c>
      <c r="E200" s="58" t="str">
        <f>UPPER(SUBSTITUTE(番明[[#This Row],[ご請求番号]],"-",""))</f>
        <v/>
      </c>
      <c r="F200" s="58" t="str">
        <f>keiyakuid187&amp;""</f>
        <v/>
      </c>
      <c r="I200" t="str">
        <f>IF(accelikkatsu187="","希望しない",accelikkatsu187)</f>
        <v>希望しない</v>
      </c>
      <c r="J200" t="str">
        <f>IF(belugabunyn187="","なし",belugabunyn187)</f>
        <v>なし</v>
      </c>
      <c r="K200" s="59" t="str">
        <f>belugabun187&amp;""</f>
        <v/>
      </c>
      <c r="L200" t="b">
        <f>shutoku187</f>
        <v>0</v>
      </c>
    </row>
    <row r="201" spans="1:12">
      <c r="A201">
        <v>188</v>
      </c>
      <c r="C201" t="str">
        <f>shubetsu188&amp;""</f>
        <v/>
      </c>
      <c r="D201" s="58" t="str">
        <f>billid188&amp;""</f>
        <v/>
      </c>
      <c r="E201" s="58" t="str">
        <f>UPPER(SUBSTITUTE(番明[[#This Row],[ご請求番号]],"-",""))</f>
        <v/>
      </c>
      <c r="F201" s="58" t="str">
        <f>keiyakuid188&amp;""</f>
        <v/>
      </c>
      <c r="I201" t="str">
        <f>IF(accelikkatsu188="","希望しない",accelikkatsu188)</f>
        <v>希望しない</v>
      </c>
      <c r="J201" t="str">
        <f>IF(belugabunyn188="","なし",belugabunyn188)</f>
        <v>なし</v>
      </c>
      <c r="K201" s="59" t="str">
        <f>belugabun188&amp;""</f>
        <v/>
      </c>
      <c r="L201" t="b">
        <f>shutoku188</f>
        <v>0</v>
      </c>
    </row>
    <row r="202" spans="1:12">
      <c r="A202">
        <v>189</v>
      </c>
      <c r="C202" t="str">
        <f>shubetsu189&amp;""</f>
        <v/>
      </c>
      <c r="D202" s="58" t="str">
        <f>billid189&amp;""</f>
        <v/>
      </c>
      <c r="E202" s="58" t="str">
        <f>UPPER(SUBSTITUTE(番明[[#This Row],[ご請求番号]],"-",""))</f>
        <v/>
      </c>
      <c r="F202" s="58" t="str">
        <f>keiyakuid189&amp;""</f>
        <v/>
      </c>
      <c r="I202" t="str">
        <f>IF(accelikkatsu189="","希望しない",accelikkatsu189)</f>
        <v>希望しない</v>
      </c>
      <c r="J202" t="str">
        <f>IF(belugabunyn189="","なし",belugabunyn189)</f>
        <v>なし</v>
      </c>
      <c r="K202" s="59" t="str">
        <f>belugabun189&amp;""</f>
        <v/>
      </c>
      <c r="L202" t="b">
        <f>shutoku189</f>
        <v>0</v>
      </c>
    </row>
    <row r="203" spans="1:12">
      <c r="A203">
        <v>190</v>
      </c>
      <c r="C203" t="str">
        <f>shubetsu190&amp;""</f>
        <v/>
      </c>
      <c r="D203" s="58" t="str">
        <f>billid190&amp;""</f>
        <v/>
      </c>
      <c r="E203" s="58" t="str">
        <f>UPPER(SUBSTITUTE(番明[[#This Row],[ご請求番号]],"-",""))</f>
        <v/>
      </c>
      <c r="F203" s="58" t="str">
        <f>keiyakuid190&amp;""</f>
        <v/>
      </c>
      <c r="I203" t="str">
        <f>IF(accelikkatsu190="","希望しない",accelikkatsu190)</f>
        <v>希望しない</v>
      </c>
      <c r="J203" t="str">
        <f>IF(belugabunyn190="","なし",belugabunyn190)</f>
        <v>なし</v>
      </c>
      <c r="K203" s="59" t="str">
        <f>belugabun190&amp;""</f>
        <v/>
      </c>
      <c r="L203" t="b">
        <f>shutoku190</f>
        <v>0</v>
      </c>
    </row>
    <row r="204" spans="1:12">
      <c r="A204">
        <v>191</v>
      </c>
      <c r="C204" t="str">
        <f>shubetsu191&amp;""</f>
        <v/>
      </c>
      <c r="D204" s="58" t="str">
        <f>billid191&amp;""</f>
        <v/>
      </c>
      <c r="E204" s="58" t="str">
        <f>UPPER(SUBSTITUTE(番明[[#This Row],[ご請求番号]],"-",""))</f>
        <v/>
      </c>
      <c r="F204" s="58" t="str">
        <f>keiyakuid191&amp;""</f>
        <v/>
      </c>
      <c r="I204" t="str">
        <f>IF(accelikkatsu191="","希望しない",accelikkatsu191)</f>
        <v>希望しない</v>
      </c>
      <c r="J204" t="str">
        <f>IF(belugabunyn191="","なし",belugabunyn191)</f>
        <v>なし</v>
      </c>
      <c r="K204" s="59" t="str">
        <f>belugabun191&amp;""</f>
        <v/>
      </c>
      <c r="L204" t="b">
        <f>shutoku191</f>
        <v>0</v>
      </c>
    </row>
    <row r="205" spans="1:12">
      <c r="A205">
        <v>192</v>
      </c>
      <c r="C205" t="str">
        <f>shubetsu192&amp;""</f>
        <v/>
      </c>
      <c r="D205" s="58" t="str">
        <f>billid192&amp;""</f>
        <v/>
      </c>
      <c r="E205" s="58" t="str">
        <f>UPPER(SUBSTITUTE(番明[[#This Row],[ご請求番号]],"-",""))</f>
        <v/>
      </c>
      <c r="F205" s="58" t="str">
        <f>keiyakuid192&amp;""</f>
        <v/>
      </c>
      <c r="I205" t="str">
        <f>IF(accelikkatsu192="","希望しない",accelikkatsu192)</f>
        <v>希望しない</v>
      </c>
      <c r="J205" t="str">
        <f>IF(belugabunyn192="","なし",belugabunyn192)</f>
        <v>なし</v>
      </c>
      <c r="K205" s="59" t="str">
        <f>belugabun192&amp;""</f>
        <v/>
      </c>
      <c r="L205" t="b">
        <f>shutoku192</f>
        <v>0</v>
      </c>
    </row>
    <row r="206" spans="1:12">
      <c r="A206">
        <v>193</v>
      </c>
      <c r="C206" t="str">
        <f>shubetsu193&amp;""</f>
        <v/>
      </c>
      <c r="D206" s="58" t="str">
        <f>billid193&amp;""</f>
        <v/>
      </c>
      <c r="E206" s="58" t="str">
        <f>UPPER(SUBSTITUTE(番明[[#This Row],[ご請求番号]],"-",""))</f>
        <v/>
      </c>
      <c r="F206" s="58" t="str">
        <f>keiyakuid193&amp;""</f>
        <v/>
      </c>
      <c r="I206" t="str">
        <f>IF(accelikkatsu193="","希望しない",accelikkatsu193)</f>
        <v>希望しない</v>
      </c>
      <c r="J206" t="str">
        <f>IF(belugabunyn193="","なし",belugabunyn193)</f>
        <v>なし</v>
      </c>
      <c r="K206" s="59" t="str">
        <f>belugabun193&amp;""</f>
        <v/>
      </c>
      <c r="L206" t="b">
        <f>shutoku193</f>
        <v>0</v>
      </c>
    </row>
    <row r="207" spans="1:12">
      <c r="A207">
        <v>194</v>
      </c>
      <c r="C207" t="str">
        <f>shubetsu194&amp;""</f>
        <v/>
      </c>
      <c r="D207" s="58" t="str">
        <f>billid194&amp;""</f>
        <v/>
      </c>
      <c r="E207" s="58" t="str">
        <f>UPPER(SUBSTITUTE(番明[[#This Row],[ご請求番号]],"-",""))</f>
        <v/>
      </c>
      <c r="F207" s="58" t="str">
        <f>keiyakuid194&amp;""</f>
        <v/>
      </c>
      <c r="I207" t="str">
        <f>IF(accelikkatsu194="","希望しない",accelikkatsu194)</f>
        <v>希望しない</v>
      </c>
      <c r="J207" t="str">
        <f>IF(belugabunyn194="","なし",belugabunyn194)</f>
        <v>なし</v>
      </c>
      <c r="K207" s="59" t="str">
        <f>belugabun194&amp;""</f>
        <v/>
      </c>
      <c r="L207" t="b">
        <f>shutoku194</f>
        <v>0</v>
      </c>
    </row>
    <row r="208" spans="1:12">
      <c r="A208">
        <v>195</v>
      </c>
      <c r="C208" t="str">
        <f>shubetsu195&amp;""</f>
        <v/>
      </c>
      <c r="D208" s="58" t="str">
        <f>billid195&amp;""</f>
        <v/>
      </c>
      <c r="E208" s="58" t="str">
        <f>UPPER(SUBSTITUTE(番明[[#This Row],[ご請求番号]],"-",""))</f>
        <v/>
      </c>
      <c r="F208" s="58" t="str">
        <f>keiyakuid195&amp;""</f>
        <v/>
      </c>
      <c r="I208" t="str">
        <f>IF(accelikkatsu195="","希望しない",accelikkatsu195)</f>
        <v>希望しない</v>
      </c>
      <c r="J208" t="str">
        <f>IF(belugabunyn195="","なし",belugabunyn195)</f>
        <v>なし</v>
      </c>
      <c r="K208" s="59" t="str">
        <f>belugabun195&amp;""</f>
        <v/>
      </c>
      <c r="L208" t="b">
        <f>shutoku195</f>
        <v>0</v>
      </c>
    </row>
    <row r="209" spans="1:12">
      <c r="A209">
        <v>196</v>
      </c>
      <c r="C209" t="str">
        <f>shubetsu196&amp;""</f>
        <v/>
      </c>
      <c r="D209" s="58" t="str">
        <f>billid196&amp;""</f>
        <v/>
      </c>
      <c r="E209" s="58" t="str">
        <f>UPPER(SUBSTITUTE(番明[[#This Row],[ご請求番号]],"-",""))</f>
        <v/>
      </c>
      <c r="F209" s="58" t="str">
        <f>keiyakuid196&amp;""</f>
        <v/>
      </c>
      <c r="I209" t="str">
        <f>IF(accelikkatsu196="","希望しない",accelikkatsu196)</f>
        <v>希望しない</v>
      </c>
      <c r="J209" t="str">
        <f>IF(belugabunyn196="","なし",belugabunyn196)</f>
        <v>なし</v>
      </c>
      <c r="K209" s="59" t="str">
        <f>belugabun196&amp;""</f>
        <v/>
      </c>
      <c r="L209" t="b">
        <f>shutoku196</f>
        <v>0</v>
      </c>
    </row>
    <row r="210" spans="1:12">
      <c r="A210">
        <v>197</v>
      </c>
      <c r="C210" t="str">
        <f>shubetsu197&amp;""</f>
        <v/>
      </c>
      <c r="D210" s="58" t="str">
        <f>billid197&amp;""</f>
        <v/>
      </c>
      <c r="E210" s="58" t="str">
        <f>UPPER(SUBSTITUTE(番明[[#This Row],[ご請求番号]],"-",""))</f>
        <v/>
      </c>
      <c r="F210" s="58" t="str">
        <f>keiyakuid197&amp;""</f>
        <v/>
      </c>
      <c r="I210" t="str">
        <f>IF(accelikkatsu197="","希望しない",accelikkatsu197)</f>
        <v>希望しない</v>
      </c>
      <c r="J210" t="str">
        <f>IF(belugabunyn197="","なし",belugabunyn197)</f>
        <v>なし</v>
      </c>
      <c r="K210" s="59" t="str">
        <f>belugabun197&amp;""</f>
        <v/>
      </c>
      <c r="L210" t="b">
        <f>shutoku197</f>
        <v>0</v>
      </c>
    </row>
    <row r="211" spans="1:12">
      <c r="A211">
        <v>198</v>
      </c>
      <c r="C211" t="str">
        <f>shubetsu198&amp;""</f>
        <v/>
      </c>
      <c r="D211" s="58" t="str">
        <f>billid198&amp;""</f>
        <v/>
      </c>
      <c r="E211" s="58" t="str">
        <f>UPPER(SUBSTITUTE(番明[[#This Row],[ご請求番号]],"-",""))</f>
        <v/>
      </c>
      <c r="F211" s="58" t="str">
        <f>keiyakuid198&amp;""</f>
        <v/>
      </c>
      <c r="I211" t="str">
        <f>IF(accelikkatsu198="","希望しない",accelikkatsu198)</f>
        <v>希望しない</v>
      </c>
      <c r="J211" t="str">
        <f>IF(belugabunyn198="","なし",belugabunyn198)</f>
        <v>なし</v>
      </c>
      <c r="K211" s="59" t="str">
        <f>belugabun198&amp;""</f>
        <v/>
      </c>
      <c r="L211" t="b">
        <f>shutoku198</f>
        <v>0</v>
      </c>
    </row>
    <row r="212" spans="1:12">
      <c r="A212">
        <v>199</v>
      </c>
      <c r="C212" t="str">
        <f>shubetsu199&amp;""</f>
        <v/>
      </c>
      <c r="D212" s="58" t="str">
        <f>billid199&amp;""</f>
        <v/>
      </c>
      <c r="E212" s="58" t="str">
        <f>UPPER(SUBSTITUTE(番明[[#This Row],[ご請求番号]],"-",""))</f>
        <v/>
      </c>
      <c r="F212" s="58" t="str">
        <f>keiyakuid199&amp;""</f>
        <v/>
      </c>
      <c r="I212" t="str">
        <f>IF(accelikkatsu199="","希望しない",accelikkatsu199)</f>
        <v>希望しない</v>
      </c>
      <c r="J212" t="str">
        <f>IF(belugabunyn199="","なし",belugabunyn199)</f>
        <v>なし</v>
      </c>
      <c r="K212" s="59" t="str">
        <f>belugabun199&amp;""</f>
        <v/>
      </c>
      <c r="L212" t="b">
        <f>shutoku199</f>
        <v>0</v>
      </c>
    </row>
    <row r="213" spans="1:12">
      <c r="A213">
        <v>200</v>
      </c>
      <c r="C213" t="str">
        <f>shubetsu200&amp;""</f>
        <v/>
      </c>
      <c r="D213" s="58" t="str">
        <f>billid200&amp;""</f>
        <v/>
      </c>
      <c r="E213" s="58" t="str">
        <f>UPPER(SUBSTITUTE(番明[[#This Row],[ご請求番号]],"-",""))</f>
        <v/>
      </c>
      <c r="F213" s="58" t="str">
        <f>keiyakuid200&amp;""</f>
        <v/>
      </c>
      <c r="I213" t="str">
        <f>IF(accelikkatsu200="","希望しない",accelikkatsu200)</f>
        <v>希望しない</v>
      </c>
      <c r="J213" t="str">
        <f>IF(belugabunyn200="","なし",belugabunyn200)</f>
        <v>なし</v>
      </c>
      <c r="K213" s="59" t="str">
        <f>belugabun200&amp;""</f>
        <v/>
      </c>
      <c r="L213" t="b">
        <f>shutoku200</f>
        <v>0</v>
      </c>
    </row>
    <row r="214" spans="1:12">
      <c r="A214">
        <v>201</v>
      </c>
      <c r="C214" t="str">
        <f>shubetsu201&amp;""</f>
        <v/>
      </c>
      <c r="D214" s="58" t="str">
        <f>billid201&amp;""</f>
        <v/>
      </c>
      <c r="E214" s="58" t="str">
        <f>UPPER(SUBSTITUTE(番明[[#This Row],[ご請求番号]],"-",""))</f>
        <v/>
      </c>
      <c r="F214" s="58" t="str">
        <f>keiyakuid201&amp;""</f>
        <v/>
      </c>
      <c r="I214" t="str">
        <f>IF(accelikkatsu201="","希望しない",accelikkatsu201)</f>
        <v>希望しない</v>
      </c>
      <c r="J214" t="str">
        <f>IF(belugabunyn201="","なし",belugabunyn201)</f>
        <v>なし</v>
      </c>
      <c r="K214" s="59" t="str">
        <f>belugabun201&amp;""</f>
        <v/>
      </c>
      <c r="L214" t="b">
        <f>shutoku201</f>
        <v>0</v>
      </c>
    </row>
    <row r="215" spans="1:12">
      <c r="A215">
        <v>202</v>
      </c>
      <c r="C215" t="str">
        <f>shubetsu202&amp;""</f>
        <v/>
      </c>
      <c r="D215" s="58" t="str">
        <f>billid202&amp;""</f>
        <v/>
      </c>
      <c r="E215" s="58" t="str">
        <f>UPPER(SUBSTITUTE(番明[[#This Row],[ご請求番号]],"-",""))</f>
        <v/>
      </c>
      <c r="F215" s="58" t="str">
        <f>keiyakuid202&amp;""</f>
        <v/>
      </c>
      <c r="I215" t="str">
        <f>IF(accelikkatsu202="","希望しない",accelikkatsu202)</f>
        <v>希望しない</v>
      </c>
      <c r="J215" t="str">
        <f>IF(belugabunyn202="","なし",belugabunyn202)</f>
        <v>なし</v>
      </c>
      <c r="K215" s="59" t="str">
        <f>belugabun202&amp;""</f>
        <v/>
      </c>
      <c r="L215" t="b">
        <f>shutoku202</f>
        <v>0</v>
      </c>
    </row>
    <row r="216" spans="1:12">
      <c r="A216">
        <v>203</v>
      </c>
      <c r="C216" t="str">
        <f>shubetsu203&amp;""</f>
        <v/>
      </c>
      <c r="D216" s="58" t="str">
        <f>billid203&amp;""</f>
        <v/>
      </c>
      <c r="E216" s="58" t="str">
        <f>UPPER(SUBSTITUTE(番明[[#This Row],[ご請求番号]],"-",""))</f>
        <v/>
      </c>
      <c r="F216" s="58" t="str">
        <f>keiyakuid203&amp;""</f>
        <v/>
      </c>
      <c r="I216" t="str">
        <f>IF(accelikkatsu203="","希望しない",accelikkatsu203)</f>
        <v>希望しない</v>
      </c>
      <c r="J216" t="str">
        <f>IF(belugabunyn203="","なし",belugabunyn203)</f>
        <v>なし</v>
      </c>
      <c r="K216" s="59" t="str">
        <f>belugabun203&amp;""</f>
        <v/>
      </c>
      <c r="L216" t="b">
        <f>shutoku203</f>
        <v>0</v>
      </c>
    </row>
    <row r="217" spans="1:12">
      <c r="A217">
        <v>204</v>
      </c>
      <c r="C217" t="str">
        <f>shubetsu204&amp;""</f>
        <v/>
      </c>
      <c r="D217" s="58" t="str">
        <f>billid204&amp;""</f>
        <v/>
      </c>
      <c r="E217" s="58" t="str">
        <f>UPPER(SUBSTITUTE(番明[[#This Row],[ご請求番号]],"-",""))</f>
        <v/>
      </c>
      <c r="F217" s="58" t="str">
        <f>keiyakuid204&amp;""</f>
        <v/>
      </c>
      <c r="I217" t="str">
        <f>IF(accelikkatsu204="","希望しない",accelikkatsu204)</f>
        <v>希望しない</v>
      </c>
      <c r="J217" t="str">
        <f>IF(belugabunyn204="","なし",belugabunyn204)</f>
        <v>なし</v>
      </c>
      <c r="K217" s="59" t="str">
        <f>belugabun204&amp;""</f>
        <v/>
      </c>
      <c r="L217" t="b">
        <f>shutoku204</f>
        <v>0</v>
      </c>
    </row>
    <row r="218" spans="1:12">
      <c r="A218">
        <v>205</v>
      </c>
      <c r="C218" t="str">
        <f>shubetsu205&amp;""</f>
        <v/>
      </c>
      <c r="D218" s="58" t="str">
        <f>billid205&amp;""</f>
        <v/>
      </c>
      <c r="E218" s="58" t="str">
        <f>UPPER(SUBSTITUTE(番明[[#This Row],[ご請求番号]],"-",""))</f>
        <v/>
      </c>
      <c r="F218" s="58" t="str">
        <f>keiyakuid205&amp;""</f>
        <v/>
      </c>
      <c r="I218" t="str">
        <f>IF(accelikkatsu205="","希望しない",accelikkatsu205)</f>
        <v>希望しない</v>
      </c>
      <c r="J218" t="str">
        <f>IF(belugabunyn205="","なし",belugabunyn205)</f>
        <v>なし</v>
      </c>
      <c r="K218" s="59" t="str">
        <f>belugabun205&amp;""</f>
        <v/>
      </c>
      <c r="L218" t="b">
        <f>shutoku205</f>
        <v>0</v>
      </c>
    </row>
    <row r="219" spans="1:12">
      <c r="A219">
        <v>206</v>
      </c>
      <c r="C219" t="str">
        <f>shubetsu206&amp;""</f>
        <v/>
      </c>
      <c r="D219" s="58" t="str">
        <f>billid206&amp;""</f>
        <v/>
      </c>
      <c r="E219" s="58" t="str">
        <f>UPPER(SUBSTITUTE(番明[[#This Row],[ご請求番号]],"-",""))</f>
        <v/>
      </c>
      <c r="F219" s="58" t="str">
        <f>keiyakuid206&amp;""</f>
        <v/>
      </c>
      <c r="I219" t="str">
        <f>IF(accelikkatsu206="","希望しない",accelikkatsu206)</f>
        <v>希望しない</v>
      </c>
      <c r="J219" t="str">
        <f>IF(belugabunyn206="","なし",belugabunyn206)</f>
        <v>なし</v>
      </c>
      <c r="K219" s="59" t="str">
        <f>belugabun206&amp;""</f>
        <v/>
      </c>
      <c r="L219" t="b">
        <f>shutoku206</f>
        <v>0</v>
      </c>
    </row>
    <row r="220" spans="1:12">
      <c r="A220">
        <v>207</v>
      </c>
      <c r="C220" t="str">
        <f>shubetsu207&amp;""</f>
        <v/>
      </c>
      <c r="D220" s="58" t="str">
        <f>billid207&amp;""</f>
        <v/>
      </c>
      <c r="E220" s="58" t="str">
        <f>UPPER(SUBSTITUTE(番明[[#This Row],[ご請求番号]],"-",""))</f>
        <v/>
      </c>
      <c r="F220" s="58" t="str">
        <f>keiyakuid207&amp;""</f>
        <v/>
      </c>
      <c r="I220" t="str">
        <f>IF(accelikkatsu207="","希望しない",accelikkatsu207)</f>
        <v>希望しない</v>
      </c>
      <c r="J220" t="str">
        <f>IF(belugabunyn207="","なし",belugabunyn207)</f>
        <v>なし</v>
      </c>
      <c r="K220" s="59" t="str">
        <f>belugabun207&amp;""</f>
        <v/>
      </c>
      <c r="L220" t="b">
        <f>shutoku207</f>
        <v>0</v>
      </c>
    </row>
    <row r="221" spans="1:12">
      <c r="A221">
        <v>208</v>
      </c>
      <c r="C221" t="str">
        <f>shubetsu208&amp;""</f>
        <v/>
      </c>
      <c r="D221" s="58" t="str">
        <f>billid208&amp;""</f>
        <v/>
      </c>
      <c r="E221" s="58" t="str">
        <f>UPPER(SUBSTITUTE(番明[[#This Row],[ご請求番号]],"-",""))</f>
        <v/>
      </c>
      <c r="F221" s="58" t="str">
        <f>keiyakuid208&amp;""</f>
        <v/>
      </c>
      <c r="I221" t="str">
        <f>IF(accelikkatsu208="","希望しない",accelikkatsu208)</f>
        <v>希望しない</v>
      </c>
      <c r="J221" t="str">
        <f>IF(belugabunyn208="","なし",belugabunyn208)</f>
        <v>なし</v>
      </c>
      <c r="K221" s="59" t="str">
        <f>belugabun208&amp;""</f>
        <v/>
      </c>
      <c r="L221" t="b">
        <f>shutoku208</f>
        <v>0</v>
      </c>
    </row>
    <row r="222" spans="1:12">
      <c r="A222">
        <v>209</v>
      </c>
      <c r="C222" t="str">
        <f>shubetsu209&amp;""</f>
        <v/>
      </c>
      <c r="D222" s="58" t="str">
        <f>billid209&amp;""</f>
        <v/>
      </c>
      <c r="E222" s="58" t="str">
        <f>UPPER(SUBSTITUTE(番明[[#This Row],[ご請求番号]],"-",""))</f>
        <v/>
      </c>
      <c r="F222" s="58" t="str">
        <f>keiyakuid209&amp;""</f>
        <v/>
      </c>
      <c r="I222" t="str">
        <f>IF(accelikkatsu209="","希望しない",accelikkatsu209)</f>
        <v>希望しない</v>
      </c>
      <c r="J222" t="str">
        <f>IF(belugabunyn209="","なし",belugabunyn209)</f>
        <v>なし</v>
      </c>
      <c r="K222" s="59" t="str">
        <f>belugabun209&amp;""</f>
        <v/>
      </c>
      <c r="L222" t="b">
        <f>shutoku209</f>
        <v>0</v>
      </c>
    </row>
    <row r="223" spans="1:12">
      <c r="A223">
        <v>210</v>
      </c>
      <c r="C223" t="str">
        <f>shubetsu210&amp;""</f>
        <v/>
      </c>
      <c r="D223" s="58" t="str">
        <f>billid210&amp;""</f>
        <v/>
      </c>
      <c r="E223" s="58" t="str">
        <f>UPPER(SUBSTITUTE(番明[[#This Row],[ご請求番号]],"-",""))</f>
        <v/>
      </c>
      <c r="F223" s="58" t="str">
        <f>keiyakuid210&amp;""</f>
        <v/>
      </c>
      <c r="I223" t="str">
        <f>IF(accelikkatsu210="","希望しない",accelikkatsu210)</f>
        <v>希望しない</v>
      </c>
      <c r="J223" t="str">
        <f>IF(belugabunyn210="","なし",belugabunyn210)</f>
        <v>なし</v>
      </c>
      <c r="K223" s="59" t="str">
        <f>belugabun210&amp;""</f>
        <v/>
      </c>
      <c r="L223" t="b">
        <f>shutoku210</f>
        <v>0</v>
      </c>
    </row>
    <row r="224" spans="1:12">
      <c r="A224">
        <v>211</v>
      </c>
      <c r="C224" t="str">
        <f>shubetsu211&amp;""</f>
        <v/>
      </c>
      <c r="D224" s="58" t="str">
        <f>billid211&amp;""</f>
        <v/>
      </c>
      <c r="E224" s="58" t="str">
        <f>UPPER(SUBSTITUTE(番明[[#This Row],[ご請求番号]],"-",""))</f>
        <v/>
      </c>
      <c r="F224" s="58" t="str">
        <f>keiyakuid211&amp;""</f>
        <v/>
      </c>
      <c r="I224" t="str">
        <f>IF(accelikkatsu211="","希望しない",accelikkatsu211)</f>
        <v>希望しない</v>
      </c>
      <c r="J224" t="str">
        <f>IF(belugabunyn211="","なし",belugabunyn211)</f>
        <v>なし</v>
      </c>
      <c r="K224" s="59" t="str">
        <f>belugabun211&amp;""</f>
        <v/>
      </c>
      <c r="L224" t="b">
        <f>shutoku211</f>
        <v>0</v>
      </c>
    </row>
    <row r="225" spans="1:12">
      <c r="A225">
        <v>212</v>
      </c>
      <c r="C225" t="str">
        <f>shubetsu212&amp;""</f>
        <v/>
      </c>
      <c r="D225" s="58" t="str">
        <f>billid212&amp;""</f>
        <v/>
      </c>
      <c r="E225" s="58" t="str">
        <f>UPPER(SUBSTITUTE(番明[[#This Row],[ご請求番号]],"-",""))</f>
        <v/>
      </c>
      <c r="F225" s="58" t="str">
        <f>keiyakuid212&amp;""</f>
        <v/>
      </c>
      <c r="I225" t="str">
        <f>IF(accelikkatsu212="","希望しない",accelikkatsu212)</f>
        <v>希望しない</v>
      </c>
      <c r="J225" t="str">
        <f>IF(belugabunyn212="","なし",belugabunyn212)</f>
        <v>なし</v>
      </c>
      <c r="K225" s="59" t="str">
        <f>belugabun212&amp;""</f>
        <v/>
      </c>
      <c r="L225" t="b">
        <f>shutoku212</f>
        <v>0</v>
      </c>
    </row>
    <row r="226" spans="1:12">
      <c r="A226">
        <v>213</v>
      </c>
      <c r="C226" t="str">
        <f>shubetsu213&amp;""</f>
        <v/>
      </c>
      <c r="D226" s="58" t="str">
        <f>billid213&amp;""</f>
        <v/>
      </c>
      <c r="E226" s="58" t="str">
        <f>UPPER(SUBSTITUTE(番明[[#This Row],[ご請求番号]],"-",""))</f>
        <v/>
      </c>
      <c r="F226" s="58" t="str">
        <f>keiyakuid213&amp;""</f>
        <v/>
      </c>
      <c r="I226" t="str">
        <f>IF(accelikkatsu213="","希望しない",accelikkatsu213)</f>
        <v>希望しない</v>
      </c>
      <c r="J226" t="str">
        <f>IF(belugabunyn213="","なし",belugabunyn213)</f>
        <v>なし</v>
      </c>
      <c r="K226" s="59" t="str">
        <f>belugabun213&amp;""</f>
        <v/>
      </c>
      <c r="L226" t="b">
        <f>shutoku213</f>
        <v>0</v>
      </c>
    </row>
    <row r="227" spans="1:12">
      <c r="A227">
        <v>214</v>
      </c>
      <c r="C227" t="str">
        <f>shubetsu214&amp;""</f>
        <v/>
      </c>
      <c r="D227" s="58" t="str">
        <f>billid214&amp;""</f>
        <v/>
      </c>
      <c r="E227" s="58" t="str">
        <f>UPPER(SUBSTITUTE(番明[[#This Row],[ご請求番号]],"-",""))</f>
        <v/>
      </c>
      <c r="F227" s="58" t="str">
        <f>keiyakuid214&amp;""</f>
        <v/>
      </c>
      <c r="I227" t="str">
        <f>IF(accelikkatsu214="","希望しない",accelikkatsu214)</f>
        <v>希望しない</v>
      </c>
      <c r="J227" t="str">
        <f>IF(belugabunyn214="","なし",belugabunyn214)</f>
        <v>なし</v>
      </c>
      <c r="K227" s="59" t="str">
        <f>belugabun214&amp;""</f>
        <v/>
      </c>
      <c r="L227" t="b">
        <f>shutoku214</f>
        <v>0</v>
      </c>
    </row>
    <row r="228" spans="1:12">
      <c r="A228">
        <v>215</v>
      </c>
      <c r="C228" t="str">
        <f>shubetsu215&amp;""</f>
        <v/>
      </c>
      <c r="D228" s="58" t="str">
        <f>billid215&amp;""</f>
        <v/>
      </c>
      <c r="E228" s="58" t="str">
        <f>UPPER(SUBSTITUTE(番明[[#This Row],[ご請求番号]],"-",""))</f>
        <v/>
      </c>
      <c r="F228" s="58" t="str">
        <f>keiyakuid215&amp;""</f>
        <v/>
      </c>
      <c r="I228" t="str">
        <f>IF(accelikkatsu215="","希望しない",accelikkatsu215)</f>
        <v>希望しない</v>
      </c>
      <c r="J228" t="str">
        <f>IF(belugabunyn215="","なし",belugabunyn215)</f>
        <v>なし</v>
      </c>
      <c r="K228" s="59" t="str">
        <f>belugabun215&amp;""</f>
        <v/>
      </c>
      <c r="L228" t="b">
        <f>shutoku215</f>
        <v>0</v>
      </c>
    </row>
    <row r="229" spans="1:12">
      <c r="A229">
        <v>216</v>
      </c>
      <c r="C229" t="str">
        <f>shubetsu216&amp;""</f>
        <v/>
      </c>
      <c r="D229" s="58" t="str">
        <f>billid216&amp;""</f>
        <v/>
      </c>
      <c r="E229" s="58" t="str">
        <f>UPPER(SUBSTITUTE(番明[[#This Row],[ご請求番号]],"-",""))</f>
        <v/>
      </c>
      <c r="F229" s="58" t="str">
        <f>keiyakuid216&amp;""</f>
        <v/>
      </c>
      <c r="I229" t="str">
        <f>IF(accelikkatsu216="","希望しない",accelikkatsu216)</f>
        <v>希望しない</v>
      </c>
      <c r="J229" t="str">
        <f>IF(belugabunyn216="","なし",belugabunyn216)</f>
        <v>なし</v>
      </c>
      <c r="K229" s="59" t="str">
        <f>belugabun216&amp;""</f>
        <v/>
      </c>
      <c r="L229" t="b">
        <f>shutoku216</f>
        <v>0</v>
      </c>
    </row>
    <row r="230" spans="1:12">
      <c r="A230">
        <v>217</v>
      </c>
      <c r="C230" t="str">
        <f>shubetsu217&amp;""</f>
        <v/>
      </c>
      <c r="D230" s="58" t="str">
        <f>billid217&amp;""</f>
        <v/>
      </c>
      <c r="E230" s="58" t="str">
        <f>UPPER(SUBSTITUTE(番明[[#This Row],[ご請求番号]],"-",""))</f>
        <v/>
      </c>
      <c r="F230" s="58" t="str">
        <f>keiyakuid217&amp;""</f>
        <v/>
      </c>
      <c r="I230" t="str">
        <f>IF(accelikkatsu217="","希望しない",accelikkatsu217)</f>
        <v>希望しない</v>
      </c>
      <c r="J230" t="str">
        <f>IF(belugabunyn217="","なし",belugabunyn217)</f>
        <v>なし</v>
      </c>
      <c r="K230" s="59" t="str">
        <f>belugabun217&amp;""</f>
        <v/>
      </c>
      <c r="L230" t="b">
        <f>shutoku217</f>
        <v>0</v>
      </c>
    </row>
    <row r="231" spans="1:12">
      <c r="A231">
        <v>218</v>
      </c>
      <c r="C231" t="str">
        <f>shubetsu218&amp;""</f>
        <v/>
      </c>
      <c r="D231" s="58" t="str">
        <f>billid218&amp;""</f>
        <v/>
      </c>
      <c r="E231" s="58" t="str">
        <f>UPPER(SUBSTITUTE(番明[[#This Row],[ご請求番号]],"-",""))</f>
        <v/>
      </c>
      <c r="F231" s="58" t="str">
        <f>keiyakuid218&amp;""</f>
        <v/>
      </c>
      <c r="I231" t="str">
        <f>IF(accelikkatsu218="","希望しない",accelikkatsu218)</f>
        <v>希望しない</v>
      </c>
      <c r="J231" t="str">
        <f>IF(belugabunyn218="","なし",belugabunyn218)</f>
        <v>なし</v>
      </c>
      <c r="K231" s="59" t="str">
        <f>belugabun218&amp;""</f>
        <v/>
      </c>
      <c r="L231" t="b">
        <f>shutoku218</f>
        <v>0</v>
      </c>
    </row>
    <row r="232" spans="1:12">
      <c r="A232">
        <v>219</v>
      </c>
      <c r="C232" t="str">
        <f>shubetsu219&amp;""</f>
        <v/>
      </c>
      <c r="D232" s="58" t="str">
        <f>billid219&amp;""</f>
        <v/>
      </c>
      <c r="E232" s="58" t="str">
        <f>UPPER(SUBSTITUTE(番明[[#This Row],[ご請求番号]],"-",""))</f>
        <v/>
      </c>
      <c r="F232" s="58" t="str">
        <f>keiyakuid219&amp;""</f>
        <v/>
      </c>
      <c r="I232" t="str">
        <f>IF(accelikkatsu219="","希望しない",accelikkatsu219)</f>
        <v>希望しない</v>
      </c>
      <c r="J232" t="str">
        <f>IF(belugabunyn219="","なし",belugabunyn219)</f>
        <v>なし</v>
      </c>
      <c r="K232" s="59" t="str">
        <f>belugabun219&amp;""</f>
        <v/>
      </c>
      <c r="L232" t="b">
        <f>shutoku219</f>
        <v>0</v>
      </c>
    </row>
    <row r="233" spans="1:12">
      <c r="A233">
        <v>220</v>
      </c>
      <c r="C233" t="str">
        <f>shubetsu220&amp;""</f>
        <v/>
      </c>
      <c r="D233" s="58" t="str">
        <f>billid220&amp;""</f>
        <v/>
      </c>
      <c r="E233" s="58" t="str">
        <f>UPPER(SUBSTITUTE(番明[[#This Row],[ご請求番号]],"-",""))</f>
        <v/>
      </c>
      <c r="F233" s="58" t="str">
        <f>keiyakuid220&amp;""</f>
        <v/>
      </c>
      <c r="I233" t="str">
        <f>IF(accelikkatsu220="","希望しない",accelikkatsu220)</f>
        <v>希望しない</v>
      </c>
      <c r="J233" t="str">
        <f>IF(belugabunyn220="","なし",belugabunyn220)</f>
        <v>なし</v>
      </c>
      <c r="K233" s="59" t="str">
        <f>belugabun220&amp;""</f>
        <v/>
      </c>
      <c r="L233" t="b">
        <f>shutoku220</f>
        <v>0</v>
      </c>
    </row>
    <row r="234" spans="1:12">
      <c r="A234">
        <v>221</v>
      </c>
      <c r="C234" t="str">
        <f>shubetsu221&amp;""</f>
        <v/>
      </c>
      <c r="D234" s="58" t="str">
        <f>billid221&amp;""</f>
        <v/>
      </c>
      <c r="E234" s="58" t="str">
        <f>UPPER(SUBSTITUTE(番明[[#This Row],[ご請求番号]],"-",""))</f>
        <v/>
      </c>
      <c r="F234" s="58" t="str">
        <f>keiyakuid221&amp;""</f>
        <v/>
      </c>
      <c r="I234" t="str">
        <f>IF(accelikkatsu221="","希望しない",accelikkatsu221)</f>
        <v>希望しない</v>
      </c>
      <c r="J234" t="str">
        <f>IF(belugabunyn221="","なし",belugabunyn221)</f>
        <v>なし</v>
      </c>
      <c r="K234" s="59" t="str">
        <f>belugabun221&amp;""</f>
        <v/>
      </c>
      <c r="L234" t="b">
        <f>shutoku221</f>
        <v>0</v>
      </c>
    </row>
    <row r="235" spans="1:12">
      <c r="A235">
        <v>222</v>
      </c>
      <c r="C235" t="str">
        <f>shubetsu222&amp;""</f>
        <v/>
      </c>
      <c r="D235" s="58" t="str">
        <f>billid222&amp;""</f>
        <v/>
      </c>
      <c r="E235" s="58" t="str">
        <f>UPPER(SUBSTITUTE(番明[[#This Row],[ご請求番号]],"-",""))</f>
        <v/>
      </c>
      <c r="F235" s="58" t="str">
        <f>keiyakuid222&amp;""</f>
        <v/>
      </c>
      <c r="I235" t="str">
        <f>IF(accelikkatsu222="","希望しない",accelikkatsu222)</f>
        <v>希望しない</v>
      </c>
      <c r="J235" t="str">
        <f>IF(belugabunyn222="","なし",belugabunyn222)</f>
        <v>なし</v>
      </c>
      <c r="K235" s="59" t="str">
        <f>belugabun222&amp;""</f>
        <v/>
      </c>
      <c r="L235" t="b">
        <f>shutoku222</f>
        <v>0</v>
      </c>
    </row>
    <row r="236" spans="1:12">
      <c r="A236">
        <v>223</v>
      </c>
      <c r="C236" t="str">
        <f>shubetsu223&amp;""</f>
        <v/>
      </c>
      <c r="D236" s="58" t="str">
        <f>billid223&amp;""</f>
        <v/>
      </c>
      <c r="E236" s="58" t="str">
        <f>UPPER(SUBSTITUTE(番明[[#This Row],[ご請求番号]],"-",""))</f>
        <v/>
      </c>
      <c r="F236" s="58" t="str">
        <f>keiyakuid223&amp;""</f>
        <v/>
      </c>
      <c r="I236" t="str">
        <f>IF(accelikkatsu223="","希望しない",accelikkatsu223)</f>
        <v>希望しない</v>
      </c>
      <c r="J236" t="str">
        <f>IF(belugabunyn223="","なし",belugabunyn223)</f>
        <v>なし</v>
      </c>
      <c r="K236" s="59" t="str">
        <f>belugabun223&amp;""</f>
        <v/>
      </c>
      <c r="L236" t="b">
        <f>shutoku223</f>
        <v>0</v>
      </c>
    </row>
    <row r="237" spans="1:12">
      <c r="A237">
        <v>224</v>
      </c>
      <c r="C237" t="str">
        <f>shubetsu224&amp;""</f>
        <v/>
      </c>
      <c r="D237" s="58" t="str">
        <f>billid224&amp;""</f>
        <v/>
      </c>
      <c r="E237" s="58" t="str">
        <f>UPPER(SUBSTITUTE(番明[[#This Row],[ご請求番号]],"-",""))</f>
        <v/>
      </c>
      <c r="F237" s="58" t="str">
        <f>keiyakuid224&amp;""</f>
        <v/>
      </c>
      <c r="I237" t="str">
        <f>IF(accelikkatsu224="","希望しない",accelikkatsu224)</f>
        <v>希望しない</v>
      </c>
      <c r="J237" t="str">
        <f>IF(belugabunyn224="","なし",belugabunyn224)</f>
        <v>なし</v>
      </c>
      <c r="K237" s="59" t="str">
        <f>belugabun224&amp;""</f>
        <v/>
      </c>
      <c r="L237" t="b">
        <f>shutoku224</f>
        <v>0</v>
      </c>
    </row>
    <row r="238" spans="1:12">
      <c r="A238">
        <v>225</v>
      </c>
      <c r="C238" t="str">
        <f>shubetsu225&amp;""</f>
        <v/>
      </c>
      <c r="D238" s="58" t="str">
        <f>billid225&amp;""</f>
        <v/>
      </c>
      <c r="E238" s="58" t="str">
        <f>UPPER(SUBSTITUTE(番明[[#This Row],[ご請求番号]],"-",""))</f>
        <v/>
      </c>
      <c r="F238" s="58" t="str">
        <f>keiyakuid225&amp;""</f>
        <v/>
      </c>
      <c r="I238" t="str">
        <f>IF(accelikkatsu225="","希望しない",accelikkatsu225)</f>
        <v>希望しない</v>
      </c>
      <c r="J238" t="str">
        <f>IF(belugabunyn225="","なし",belugabunyn225)</f>
        <v>なし</v>
      </c>
      <c r="K238" s="59" t="str">
        <f>belugabun225&amp;""</f>
        <v/>
      </c>
      <c r="L238" t="b">
        <f>shutoku225</f>
        <v>0</v>
      </c>
    </row>
    <row r="239" spans="1:12">
      <c r="A239">
        <v>226</v>
      </c>
      <c r="C239" t="str">
        <f>shubetsu226&amp;""</f>
        <v/>
      </c>
      <c r="D239" s="58" t="str">
        <f>billid226&amp;""</f>
        <v/>
      </c>
      <c r="E239" s="58" t="str">
        <f>UPPER(SUBSTITUTE(番明[[#This Row],[ご請求番号]],"-",""))</f>
        <v/>
      </c>
      <c r="F239" s="58" t="str">
        <f>keiyakuid226&amp;""</f>
        <v/>
      </c>
      <c r="I239" t="str">
        <f>IF(accelikkatsu226="","希望しない",accelikkatsu226)</f>
        <v>希望しない</v>
      </c>
      <c r="J239" t="str">
        <f>IF(belugabunyn226="","なし",belugabunyn226)</f>
        <v>なし</v>
      </c>
      <c r="K239" s="59" t="str">
        <f>belugabun226&amp;""</f>
        <v/>
      </c>
      <c r="L239" t="b">
        <f>shutoku226</f>
        <v>0</v>
      </c>
    </row>
    <row r="240" spans="1:12">
      <c r="A240">
        <v>227</v>
      </c>
      <c r="C240" t="str">
        <f>shubetsu227&amp;""</f>
        <v/>
      </c>
      <c r="D240" s="58" t="str">
        <f>billid227&amp;""</f>
        <v/>
      </c>
      <c r="E240" s="58" t="str">
        <f>UPPER(SUBSTITUTE(番明[[#This Row],[ご請求番号]],"-",""))</f>
        <v/>
      </c>
      <c r="F240" s="58" t="str">
        <f>keiyakuid227&amp;""</f>
        <v/>
      </c>
      <c r="I240" t="str">
        <f>IF(accelikkatsu227="","希望しない",accelikkatsu227)</f>
        <v>希望しない</v>
      </c>
      <c r="J240" t="str">
        <f>IF(belugabunyn227="","なし",belugabunyn227)</f>
        <v>なし</v>
      </c>
      <c r="K240" s="59" t="str">
        <f>belugabun227&amp;""</f>
        <v/>
      </c>
      <c r="L240" t="b">
        <f>shutoku227</f>
        <v>0</v>
      </c>
    </row>
    <row r="241" spans="1:12">
      <c r="A241">
        <v>228</v>
      </c>
      <c r="C241" t="str">
        <f>shubetsu228&amp;""</f>
        <v/>
      </c>
      <c r="D241" s="58" t="str">
        <f>billid228&amp;""</f>
        <v/>
      </c>
      <c r="E241" s="58" t="str">
        <f>UPPER(SUBSTITUTE(番明[[#This Row],[ご請求番号]],"-",""))</f>
        <v/>
      </c>
      <c r="F241" s="58" t="str">
        <f>keiyakuid228&amp;""</f>
        <v/>
      </c>
      <c r="I241" t="str">
        <f>IF(accelikkatsu228="","希望しない",accelikkatsu228)</f>
        <v>希望しない</v>
      </c>
      <c r="J241" t="str">
        <f>IF(belugabunyn228="","なし",belugabunyn228)</f>
        <v>なし</v>
      </c>
      <c r="K241" s="59" t="str">
        <f>belugabun228&amp;""</f>
        <v/>
      </c>
      <c r="L241" t="b">
        <f>shutoku228</f>
        <v>0</v>
      </c>
    </row>
    <row r="242" spans="1:12">
      <c r="A242">
        <v>229</v>
      </c>
      <c r="C242" t="str">
        <f>shubetsu229&amp;""</f>
        <v/>
      </c>
      <c r="D242" s="58" t="str">
        <f>billid229&amp;""</f>
        <v/>
      </c>
      <c r="E242" s="58" t="str">
        <f>UPPER(SUBSTITUTE(番明[[#This Row],[ご請求番号]],"-",""))</f>
        <v/>
      </c>
      <c r="F242" s="58" t="str">
        <f>keiyakuid229&amp;""</f>
        <v/>
      </c>
      <c r="I242" t="str">
        <f>IF(accelikkatsu229="","希望しない",accelikkatsu229)</f>
        <v>希望しない</v>
      </c>
      <c r="J242" t="str">
        <f>IF(belugabunyn229="","なし",belugabunyn229)</f>
        <v>なし</v>
      </c>
      <c r="K242" s="59" t="str">
        <f>belugabun229&amp;""</f>
        <v/>
      </c>
      <c r="L242" t="b">
        <f>shutoku229</f>
        <v>0</v>
      </c>
    </row>
    <row r="243" spans="1:12">
      <c r="A243">
        <v>230</v>
      </c>
      <c r="C243" t="str">
        <f>shubetsu230&amp;""</f>
        <v/>
      </c>
      <c r="D243" s="58" t="str">
        <f>billid230&amp;""</f>
        <v/>
      </c>
      <c r="E243" s="58" t="str">
        <f>UPPER(SUBSTITUTE(番明[[#This Row],[ご請求番号]],"-",""))</f>
        <v/>
      </c>
      <c r="F243" s="58" t="str">
        <f>keiyakuid230&amp;""</f>
        <v/>
      </c>
      <c r="I243" t="str">
        <f>IF(accelikkatsu230="","希望しない",accelikkatsu230)</f>
        <v>希望しない</v>
      </c>
      <c r="J243" t="str">
        <f>IF(belugabunyn230="","なし",belugabunyn230)</f>
        <v>なし</v>
      </c>
      <c r="K243" s="59" t="str">
        <f>belugabun230&amp;""</f>
        <v/>
      </c>
      <c r="L243" t="b">
        <f>shutoku230</f>
        <v>0</v>
      </c>
    </row>
    <row r="244" spans="1:12">
      <c r="A244">
        <v>231</v>
      </c>
      <c r="C244" t="str">
        <f>shubetsu231&amp;""</f>
        <v/>
      </c>
      <c r="D244" s="58" t="str">
        <f>billid231&amp;""</f>
        <v/>
      </c>
      <c r="E244" s="58" t="str">
        <f>UPPER(SUBSTITUTE(番明[[#This Row],[ご請求番号]],"-",""))</f>
        <v/>
      </c>
      <c r="F244" s="58" t="str">
        <f>keiyakuid231&amp;""</f>
        <v/>
      </c>
      <c r="I244" t="str">
        <f>IF(accelikkatsu231="","希望しない",accelikkatsu231)</f>
        <v>希望しない</v>
      </c>
      <c r="J244" t="str">
        <f>IF(belugabunyn231="","なし",belugabunyn231)</f>
        <v>なし</v>
      </c>
      <c r="K244" s="59" t="str">
        <f>belugabun231&amp;""</f>
        <v/>
      </c>
      <c r="L244" t="b">
        <f>shutoku231</f>
        <v>0</v>
      </c>
    </row>
    <row r="245" spans="1:12">
      <c r="A245">
        <v>232</v>
      </c>
      <c r="C245" t="str">
        <f>shubetsu232&amp;""</f>
        <v/>
      </c>
      <c r="D245" s="58" t="str">
        <f>billid232&amp;""</f>
        <v/>
      </c>
      <c r="E245" s="58" t="str">
        <f>UPPER(SUBSTITUTE(番明[[#This Row],[ご請求番号]],"-",""))</f>
        <v/>
      </c>
      <c r="F245" s="58" t="str">
        <f>keiyakuid232&amp;""</f>
        <v/>
      </c>
      <c r="I245" t="str">
        <f>IF(accelikkatsu232="","希望しない",accelikkatsu232)</f>
        <v>希望しない</v>
      </c>
      <c r="J245" t="str">
        <f>IF(belugabunyn232="","なし",belugabunyn232)</f>
        <v>なし</v>
      </c>
      <c r="K245" s="59" t="str">
        <f>belugabun232&amp;""</f>
        <v/>
      </c>
      <c r="L245" t="b">
        <f>shutoku232</f>
        <v>0</v>
      </c>
    </row>
    <row r="246" spans="1:12">
      <c r="A246">
        <v>233</v>
      </c>
      <c r="C246" t="str">
        <f>shubetsu233&amp;""</f>
        <v/>
      </c>
      <c r="D246" s="58" t="str">
        <f>billid233&amp;""</f>
        <v/>
      </c>
      <c r="E246" s="58" t="str">
        <f>UPPER(SUBSTITUTE(番明[[#This Row],[ご請求番号]],"-",""))</f>
        <v/>
      </c>
      <c r="F246" s="58" t="str">
        <f>keiyakuid233&amp;""</f>
        <v/>
      </c>
      <c r="I246" t="str">
        <f>IF(accelikkatsu233="","希望しない",accelikkatsu233)</f>
        <v>希望しない</v>
      </c>
      <c r="J246" t="str">
        <f>IF(belugabunyn233="","なし",belugabunyn233)</f>
        <v>なし</v>
      </c>
      <c r="K246" s="59" t="str">
        <f>belugabun233&amp;""</f>
        <v/>
      </c>
      <c r="L246" t="b">
        <f>shutoku233</f>
        <v>0</v>
      </c>
    </row>
    <row r="247" spans="1:12">
      <c r="A247">
        <v>234</v>
      </c>
      <c r="C247" t="str">
        <f>shubetsu234&amp;""</f>
        <v/>
      </c>
      <c r="D247" s="58" t="str">
        <f>billid234&amp;""</f>
        <v/>
      </c>
      <c r="E247" s="58" t="str">
        <f>UPPER(SUBSTITUTE(番明[[#This Row],[ご請求番号]],"-",""))</f>
        <v/>
      </c>
      <c r="F247" s="58" t="str">
        <f>keiyakuid234&amp;""</f>
        <v/>
      </c>
      <c r="I247" t="str">
        <f>IF(accelikkatsu234="","希望しない",accelikkatsu234)</f>
        <v>希望しない</v>
      </c>
      <c r="J247" t="str">
        <f>IF(belugabunyn234="","なし",belugabunyn234)</f>
        <v>なし</v>
      </c>
      <c r="K247" s="59" t="str">
        <f>belugabun234&amp;""</f>
        <v/>
      </c>
      <c r="L247" t="b">
        <f>shutoku234</f>
        <v>0</v>
      </c>
    </row>
    <row r="248" spans="1:12">
      <c r="A248">
        <v>235</v>
      </c>
      <c r="C248" t="str">
        <f>shubetsu235&amp;""</f>
        <v/>
      </c>
      <c r="D248" s="58" t="str">
        <f>billid235&amp;""</f>
        <v/>
      </c>
      <c r="E248" s="58" t="str">
        <f>UPPER(SUBSTITUTE(番明[[#This Row],[ご請求番号]],"-",""))</f>
        <v/>
      </c>
      <c r="F248" s="58" t="str">
        <f>keiyakuid235&amp;""</f>
        <v/>
      </c>
      <c r="I248" t="str">
        <f>IF(accelikkatsu235="","希望しない",accelikkatsu235)</f>
        <v>希望しない</v>
      </c>
      <c r="J248" t="str">
        <f>IF(belugabunyn235="","なし",belugabunyn235)</f>
        <v>なし</v>
      </c>
      <c r="K248" s="59" t="str">
        <f>belugabun235&amp;""</f>
        <v/>
      </c>
      <c r="L248" t="b">
        <f>shutoku235</f>
        <v>0</v>
      </c>
    </row>
    <row r="249" spans="1:12">
      <c r="A249">
        <v>236</v>
      </c>
      <c r="C249" t="str">
        <f>shubetsu236&amp;""</f>
        <v/>
      </c>
      <c r="D249" s="58" t="str">
        <f>billid236&amp;""</f>
        <v/>
      </c>
      <c r="E249" s="58" t="str">
        <f>UPPER(SUBSTITUTE(番明[[#This Row],[ご請求番号]],"-",""))</f>
        <v/>
      </c>
      <c r="F249" s="58" t="str">
        <f>keiyakuid236&amp;""</f>
        <v/>
      </c>
      <c r="I249" t="str">
        <f>IF(accelikkatsu236="","希望しない",accelikkatsu236)</f>
        <v>希望しない</v>
      </c>
      <c r="J249" t="str">
        <f>IF(belugabunyn236="","なし",belugabunyn236)</f>
        <v>なし</v>
      </c>
      <c r="K249" s="59" t="str">
        <f>belugabun236&amp;""</f>
        <v/>
      </c>
      <c r="L249" t="b">
        <f>shutoku236</f>
        <v>0</v>
      </c>
    </row>
    <row r="250" spans="1:12">
      <c r="A250">
        <v>237</v>
      </c>
      <c r="C250" t="str">
        <f>shubetsu237&amp;""</f>
        <v/>
      </c>
      <c r="D250" s="58" t="str">
        <f>billid237&amp;""</f>
        <v/>
      </c>
      <c r="E250" s="58" t="str">
        <f>UPPER(SUBSTITUTE(番明[[#This Row],[ご請求番号]],"-",""))</f>
        <v/>
      </c>
      <c r="F250" s="58" t="str">
        <f>keiyakuid237&amp;""</f>
        <v/>
      </c>
      <c r="I250" t="str">
        <f>IF(accelikkatsu237="","希望しない",accelikkatsu237)</f>
        <v>希望しない</v>
      </c>
      <c r="J250" t="str">
        <f>IF(belugabunyn237="","なし",belugabunyn237)</f>
        <v>なし</v>
      </c>
      <c r="K250" s="59" t="str">
        <f>belugabun237&amp;""</f>
        <v/>
      </c>
      <c r="L250" t="b">
        <f>shutoku237</f>
        <v>0</v>
      </c>
    </row>
    <row r="251" spans="1:12">
      <c r="A251">
        <v>238</v>
      </c>
      <c r="C251" t="str">
        <f>shubetsu238&amp;""</f>
        <v/>
      </c>
      <c r="D251" s="58" t="str">
        <f>billid238&amp;""</f>
        <v/>
      </c>
      <c r="E251" s="58" t="str">
        <f>UPPER(SUBSTITUTE(番明[[#This Row],[ご請求番号]],"-",""))</f>
        <v/>
      </c>
      <c r="F251" s="58" t="str">
        <f>keiyakuid238&amp;""</f>
        <v/>
      </c>
      <c r="I251" t="str">
        <f>IF(accelikkatsu238="","希望しない",accelikkatsu238)</f>
        <v>希望しない</v>
      </c>
      <c r="J251" t="str">
        <f>IF(belugabunyn238="","なし",belugabunyn238)</f>
        <v>なし</v>
      </c>
      <c r="K251" s="59" t="str">
        <f>belugabun238&amp;""</f>
        <v/>
      </c>
      <c r="L251" t="b">
        <f>shutoku238</f>
        <v>0</v>
      </c>
    </row>
    <row r="252" spans="1:12">
      <c r="A252">
        <v>239</v>
      </c>
      <c r="C252" t="str">
        <f>shubetsu239&amp;""</f>
        <v/>
      </c>
      <c r="D252" s="58" t="str">
        <f>billid239&amp;""</f>
        <v/>
      </c>
      <c r="E252" s="58" t="str">
        <f>UPPER(SUBSTITUTE(番明[[#This Row],[ご請求番号]],"-",""))</f>
        <v/>
      </c>
      <c r="F252" s="58" t="str">
        <f>keiyakuid239&amp;""</f>
        <v/>
      </c>
      <c r="I252" t="str">
        <f>IF(accelikkatsu239="","希望しない",accelikkatsu239)</f>
        <v>希望しない</v>
      </c>
      <c r="J252" t="str">
        <f>IF(belugabunyn239="","なし",belugabunyn239)</f>
        <v>なし</v>
      </c>
      <c r="K252" s="59" t="str">
        <f>belugabun239&amp;""</f>
        <v/>
      </c>
      <c r="L252" t="b">
        <f>shutoku239</f>
        <v>0</v>
      </c>
    </row>
    <row r="253" spans="1:12">
      <c r="A253">
        <v>240</v>
      </c>
      <c r="C253" t="str">
        <f>shubetsu240&amp;""</f>
        <v/>
      </c>
      <c r="D253" s="58" t="str">
        <f>billid240&amp;""</f>
        <v/>
      </c>
      <c r="E253" s="58" t="str">
        <f>UPPER(SUBSTITUTE(番明[[#This Row],[ご請求番号]],"-",""))</f>
        <v/>
      </c>
      <c r="F253" s="58" t="str">
        <f>keiyakuid240&amp;""</f>
        <v/>
      </c>
      <c r="I253" t="str">
        <f>IF(accelikkatsu240="","希望しない",accelikkatsu240)</f>
        <v>希望しない</v>
      </c>
      <c r="J253" t="str">
        <f>IF(belugabunyn240="","なし",belugabunyn240)</f>
        <v>なし</v>
      </c>
      <c r="K253" s="59" t="str">
        <f>belugabun240&amp;""</f>
        <v/>
      </c>
      <c r="L253" t="b">
        <f>shutoku240</f>
        <v>0</v>
      </c>
    </row>
    <row r="254" spans="1:12">
      <c r="A254">
        <v>241</v>
      </c>
      <c r="C254" t="str">
        <f>shubetsu241&amp;""</f>
        <v/>
      </c>
      <c r="D254" s="58" t="str">
        <f>billid241&amp;""</f>
        <v/>
      </c>
      <c r="E254" s="58" t="str">
        <f>UPPER(SUBSTITUTE(番明[[#This Row],[ご請求番号]],"-",""))</f>
        <v/>
      </c>
      <c r="F254" s="58" t="str">
        <f>keiyakuid241&amp;""</f>
        <v/>
      </c>
      <c r="I254" t="str">
        <f>IF(accelikkatsu241="","希望しない",accelikkatsu241)</f>
        <v>希望しない</v>
      </c>
      <c r="J254" t="str">
        <f>IF(belugabunyn241="","なし",belugabunyn241)</f>
        <v>なし</v>
      </c>
      <c r="K254" s="59" t="str">
        <f>belugabun241&amp;""</f>
        <v/>
      </c>
      <c r="L254" t="b">
        <f>shutoku241</f>
        <v>0</v>
      </c>
    </row>
    <row r="255" spans="1:12">
      <c r="A255">
        <v>242</v>
      </c>
      <c r="C255" t="str">
        <f>shubetsu242&amp;""</f>
        <v/>
      </c>
      <c r="D255" s="58" t="str">
        <f>billid242&amp;""</f>
        <v/>
      </c>
      <c r="E255" s="58" t="str">
        <f>UPPER(SUBSTITUTE(番明[[#This Row],[ご請求番号]],"-",""))</f>
        <v/>
      </c>
      <c r="F255" s="58" t="str">
        <f>keiyakuid242&amp;""</f>
        <v/>
      </c>
      <c r="I255" t="str">
        <f>IF(accelikkatsu242="","希望しない",accelikkatsu242)</f>
        <v>希望しない</v>
      </c>
      <c r="J255" t="str">
        <f>IF(belugabunyn242="","なし",belugabunyn242)</f>
        <v>なし</v>
      </c>
      <c r="K255" s="59" t="str">
        <f>belugabun242&amp;""</f>
        <v/>
      </c>
      <c r="L255" t="b">
        <f>shutoku242</f>
        <v>0</v>
      </c>
    </row>
    <row r="256" spans="1:12">
      <c r="A256">
        <v>243</v>
      </c>
      <c r="C256" t="str">
        <f>shubetsu243&amp;""</f>
        <v/>
      </c>
      <c r="D256" s="58" t="str">
        <f>billid243&amp;""</f>
        <v/>
      </c>
      <c r="E256" s="58" t="str">
        <f>UPPER(SUBSTITUTE(番明[[#This Row],[ご請求番号]],"-",""))</f>
        <v/>
      </c>
      <c r="F256" s="58" t="str">
        <f>keiyakuid243&amp;""</f>
        <v/>
      </c>
      <c r="I256" t="str">
        <f>IF(accelikkatsu243="","希望しない",accelikkatsu243)</f>
        <v>希望しない</v>
      </c>
      <c r="J256" t="str">
        <f>IF(belugabunyn243="","なし",belugabunyn243)</f>
        <v>なし</v>
      </c>
      <c r="K256" s="59" t="str">
        <f>belugabun243&amp;""</f>
        <v/>
      </c>
      <c r="L256" t="b">
        <f>shutoku243</f>
        <v>0</v>
      </c>
    </row>
    <row r="257" spans="1:12">
      <c r="A257">
        <v>244</v>
      </c>
      <c r="C257" t="str">
        <f>shubetsu244&amp;""</f>
        <v/>
      </c>
      <c r="D257" s="58" t="str">
        <f>billid244&amp;""</f>
        <v/>
      </c>
      <c r="E257" s="58" t="str">
        <f>UPPER(SUBSTITUTE(番明[[#This Row],[ご請求番号]],"-",""))</f>
        <v/>
      </c>
      <c r="F257" s="58" t="str">
        <f>keiyakuid244&amp;""</f>
        <v/>
      </c>
      <c r="I257" t="str">
        <f>IF(accelikkatsu244="","希望しない",accelikkatsu244)</f>
        <v>希望しない</v>
      </c>
      <c r="J257" t="str">
        <f>IF(belugabunyn244="","なし",belugabunyn244)</f>
        <v>なし</v>
      </c>
      <c r="K257" s="59" t="str">
        <f>belugabun244&amp;""</f>
        <v/>
      </c>
      <c r="L257" t="b">
        <f>shutoku244</f>
        <v>0</v>
      </c>
    </row>
    <row r="258" spans="1:12">
      <c r="A258">
        <v>245</v>
      </c>
      <c r="C258" t="str">
        <f>shubetsu245&amp;""</f>
        <v/>
      </c>
      <c r="D258" s="58" t="str">
        <f>billid245&amp;""</f>
        <v/>
      </c>
      <c r="E258" s="58" t="str">
        <f>UPPER(SUBSTITUTE(番明[[#This Row],[ご請求番号]],"-",""))</f>
        <v/>
      </c>
      <c r="F258" s="58" t="str">
        <f>keiyakuid245&amp;""</f>
        <v/>
      </c>
      <c r="I258" t="str">
        <f>IF(accelikkatsu245="","希望しない",accelikkatsu245)</f>
        <v>希望しない</v>
      </c>
      <c r="J258" t="str">
        <f>IF(belugabunyn245="","なし",belugabunyn245)</f>
        <v>なし</v>
      </c>
      <c r="K258" s="59" t="str">
        <f>belugabun245&amp;""</f>
        <v/>
      </c>
      <c r="L258" t="b">
        <f>shutoku245</f>
        <v>0</v>
      </c>
    </row>
    <row r="259" spans="1:12">
      <c r="A259">
        <v>246</v>
      </c>
      <c r="C259" t="str">
        <f>shubetsu246&amp;""</f>
        <v/>
      </c>
      <c r="D259" s="58" t="str">
        <f>billid246&amp;""</f>
        <v/>
      </c>
      <c r="E259" s="58" t="str">
        <f>UPPER(SUBSTITUTE(番明[[#This Row],[ご請求番号]],"-",""))</f>
        <v/>
      </c>
      <c r="F259" s="58" t="str">
        <f>keiyakuid246&amp;""</f>
        <v/>
      </c>
      <c r="I259" t="str">
        <f>IF(accelikkatsu246="","希望しない",accelikkatsu246)</f>
        <v>希望しない</v>
      </c>
      <c r="J259" t="str">
        <f>IF(belugabunyn246="","なし",belugabunyn246)</f>
        <v>なし</v>
      </c>
      <c r="K259" s="59" t="str">
        <f>belugabun246&amp;""</f>
        <v/>
      </c>
      <c r="L259" t="b">
        <f>shutoku246</f>
        <v>0</v>
      </c>
    </row>
    <row r="260" spans="1:12">
      <c r="A260">
        <v>247</v>
      </c>
      <c r="C260" t="str">
        <f>shubetsu247&amp;""</f>
        <v/>
      </c>
      <c r="D260" s="58" t="str">
        <f>billid247&amp;""</f>
        <v/>
      </c>
      <c r="E260" s="58" t="str">
        <f>UPPER(SUBSTITUTE(番明[[#This Row],[ご請求番号]],"-",""))</f>
        <v/>
      </c>
      <c r="F260" s="58" t="str">
        <f>keiyakuid247&amp;""</f>
        <v/>
      </c>
      <c r="I260" t="str">
        <f>IF(accelikkatsu247="","希望しない",accelikkatsu247)</f>
        <v>希望しない</v>
      </c>
      <c r="J260" t="str">
        <f>IF(belugabunyn247="","なし",belugabunyn247)</f>
        <v>なし</v>
      </c>
      <c r="K260" s="59" t="str">
        <f>belugabun247&amp;""</f>
        <v/>
      </c>
      <c r="L260" t="b">
        <f>shutoku247</f>
        <v>0</v>
      </c>
    </row>
    <row r="261" spans="1:12">
      <c r="A261">
        <v>248</v>
      </c>
      <c r="C261" t="str">
        <f>shubetsu248&amp;""</f>
        <v/>
      </c>
      <c r="D261" s="58" t="str">
        <f>billid248&amp;""</f>
        <v/>
      </c>
      <c r="E261" s="58" t="str">
        <f>UPPER(SUBSTITUTE(番明[[#This Row],[ご請求番号]],"-",""))</f>
        <v/>
      </c>
      <c r="F261" s="58" t="str">
        <f>keiyakuid248&amp;""</f>
        <v/>
      </c>
      <c r="I261" t="str">
        <f>IF(accelikkatsu248="","希望しない",accelikkatsu248)</f>
        <v>希望しない</v>
      </c>
      <c r="J261" t="str">
        <f>IF(belugabunyn248="","なし",belugabunyn248)</f>
        <v>なし</v>
      </c>
      <c r="K261" s="59" t="str">
        <f>belugabun248&amp;""</f>
        <v/>
      </c>
      <c r="L261" t="b">
        <f>shutoku248</f>
        <v>0</v>
      </c>
    </row>
    <row r="262" spans="1:12">
      <c r="A262">
        <v>249</v>
      </c>
      <c r="C262" t="str">
        <f>shubetsu249&amp;""</f>
        <v/>
      </c>
      <c r="D262" s="58" t="str">
        <f>billid249&amp;""</f>
        <v/>
      </c>
      <c r="E262" s="58" t="str">
        <f>UPPER(SUBSTITUTE(番明[[#This Row],[ご請求番号]],"-",""))</f>
        <v/>
      </c>
      <c r="F262" s="58" t="str">
        <f>keiyakuid249&amp;""</f>
        <v/>
      </c>
      <c r="I262" t="str">
        <f>IF(accelikkatsu249="","希望しない",accelikkatsu249)</f>
        <v>希望しない</v>
      </c>
      <c r="J262" t="str">
        <f>IF(belugabunyn249="","なし",belugabunyn249)</f>
        <v>なし</v>
      </c>
      <c r="K262" s="59" t="str">
        <f>belugabun249&amp;""</f>
        <v/>
      </c>
      <c r="L262" t="b">
        <f>shutoku249</f>
        <v>0</v>
      </c>
    </row>
    <row r="263" spans="1:12">
      <c r="A263">
        <v>250</v>
      </c>
      <c r="C263" t="str">
        <f>shubetsu250&amp;""</f>
        <v/>
      </c>
      <c r="D263" s="58" t="str">
        <f>billid250&amp;""</f>
        <v/>
      </c>
      <c r="E263" s="58" t="str">
        <f>UPPER(SUBSTITUTE(番明[[#This Row],[ご請求番号]],"-",""))</f>
        <v/>
      </c>
      <c r="F263" s="58" t="str">
        <f>keiyakuid250&amp;""</f>
        <v/>
      </c>
      <c r="I263" t="str">
        <f>IF(accelikkatsu250="","希望しない",accelikkatsu250)</f>
        <v>希望しない</v>
      </c>
      <c r="J263" t="str">
        <f>IF(belugabunyn250="","なし",belugabunyn250)</f>
        <v>なし</v>
      </c>
      <c r="K263" s="59" t="str">
        <f>belugabun250&amp;""</f>
        <v/>
      </c>
      <c r="L263" t="b">
        <f>shutoku250</f>
        <v>0</v>
      </c>
    </row>
    <row r="264" spans="1:12">
      <c r="A264">
        <v>251</v>
      </c>
      <c r="C264" t="str">
        <f>shubetsu251&amp;""</f>
        <v/>
      </c>
      <c r="D264" s="58" t="str">
        <f>billid251&amp;""</f>
        <v/>
      </c>
      <c r="E264" s="58" t="str">
        <f>UPPER(SUBSTITUTE(番明[[#This Row],[ご請求番号]],"-",""))</f>
        <v/>
      </c>
      <c r="F264" s="58" t="str">
        <f>keiyakuid251&amp;""</f>
        <v/>
      </c>
      <c r="I264" t="str">
        <f>IF(accelikkatsu251="","希望しない",accelikkatsu251)</f>
        <v>希望しない</v>
      </c>
      <c r="J264" t="str">
        <f>IF(belugabunyn251="","なし",belugabunyn251)</f>
        <v>なし</v>
      </c>
      <c r="K264" s="59" t="str">
        <f>belugabun251&amp;""</f>
        <v/>
      </c>
      <c r="L264" t="b">
        <f>shutoku251</f>
        <v>0</v>
      </c>
    </row>
    <row r="265" spans="1:12">
      <c r="A265">
        <v>252</v>
      </c>
      <c r="C265" t="str">
        <f>shubetsu252&amp;""</f>
        <v/>
      </c>
      <c r="D265" s="58" t="str">
        <f>billid252&amp;""</f>
        <v/>
      </c>
      <c r="E265" s="58" t="str">
        <f>UPPER(SUBSTITUTE(番明[[#This Row],[ご請求番号]],"-",""))</f>
        <v/>
      </c>
      <c r="F265" s="58" t="str">
        <f>keiyakuid252&amp;""</f>
        <v/>
      </c>
      <c r="I265" t="str">
        <f>IF(accelikkatsu252="","希望しない",accelikkatsu252)</f>
        <v>希望しない</v>
      </c>
      <c r="J265" t="str">
        <f>IF(belugabunyn252="","なし",belugabunyn252)</f>
        <v>なし</v>
      </c>
      <c r="K265" s="59" t="str">
        <f>belugabun252&amp;""</f>
        <v/>
      </c>
      <c r="L265" t="b">
        <f>shutoku252</f>
        <v>0</v>
      </c>
    </row>
    <row r="266" spans="1:12">
      <c r="A266">
        <v>253</v>
      </c>
      <c r="C266" t="str">
        <f>shubetsu253&amp;""</f>
        <v/>
      </c>
      <c r="D266" s="58" t="str">
        <f>billid253&amp;""</f>
        <v/>
      </c>
      <c r="E266" s="58" t="str">
        <f>UPPER(SUBSTITUTE(番明[[#This Row],[ご請求番号]],"-",""))</f>
        <v/>
      </c>
      <c r="F266" s="58" t="str">
        <f>keiyakuid253&amp;""</f>
        <v/>
      </c>
      <c r="I266" t="str">
        <f>IF(accelikkatsu253="","希望しない",accelikkatsu253)</f>
        <v>希望しない</v>
      </c>
      <c r="J266" t="str">
        <f>IF(belugabunyn253="","なし",belugabunyn253)</f>
        <v>なし</v>
      </c>
      <c r="K266" s="59" t="str">
        <f>belugabun253&amp;""</f>
        <v/>
      </c>
      <c r="L266" t="b">
        <f>shutoku253</f>
        <v>0</v>
      </c>
    </row>
    <row r="267" spans="1:12">
      <c r="A267">
        <v>254</v>
      </c>
      <c r="C267" t="str">
        <f>shubetsu254&amp;""</f>
        <v/>
      </c>
      <c r="D267" s="58" t="str">
        <f>billid254&amp;""</f>
        <v/>
      </c>
      <c r="E267" s="58" t="str">
        <f>UPPER(SUBSTITUTE(番明[[#This Row],[ご請求番号]],"-",""))</f>
        <v/>
      </c>
      <c r="F267" s="58" t="str">
        <f>keiyakuid254&amp;""</f>
        <v/>
      </c>
      <c r="I267" t="str">
        <f>IF(accelikkatsu254="","希望しない",accelikkatsu254)</f>
        <v>希望しない</v>
      </c>
      <c r="J267" t="str">
        <f>IF(belugabunyn254="","なし",belugabunyn254)</f>
        <v>なし</v>
      </c>
      <c r="K267" s="59" t="str">
        <f>belugabun254&amp;""</f>
        <v/>
      </c>
      <c r="L267" t="b">
        <f>shutoku254</f>
        <v>0</v>
      </c>
    </row>
    <row r="268" spans="1:12">
      <c r="A268">
        <v>255</v>
      </c>
      <c r="C268" t="str">
        <f>shubetsu255&amp;""</f>
        <v/>
      </c>
      <c r="D268" s="58" t="str">
        <f>billid255&amp;""</f>
        <v/>
      </c>
      <c r="E268" s="58" t="str">
        <f>UPPER(SUBSTITUTE(番明[[#This Row],[ご請求番号]],"-",""))</f>
        <v/>
      </c>
      <c r="F268" s="58" t="str">
        <f>keiyakuid255&amp;""</f>
        <v/>
      </c>
      <c r="I268" t="str">
        <f>IF(accelikkatsu255="","希望しない",accelikkatsu255)</f>
        <v>希望しない</v>
      </c>
      <c r="J268" t="str">
        <f>IF(belugabunyn255="","なし",belugabunyn255)</f>
        <v>なし</v>
      </c>
      <c r="K268" s="59" t="str">
        <f>belugabun255&amp;""</f>
        <v/>
      </c>
      <c r="L268" t="b">
        <f>shutoku255</f>
        <v>0</v>
      </c>
    </row>
    <row r="269" spans="1:12">
      <c r="A269">
        <v>256</v>
      </c>
      <c r="C269" t="str">
        <f>shubetsu256&amp;""</f>
        <v/>
      </c>
      <c r="D269" s="58" t="str">
        <f>billid256&amp;""</f>
        <v/>
      </c>
      <c r="E269" s="58" t="str">
        <f>UPPER(SUBSTITUTE(番明[[#This Row],[ご請求番号]],"-",""))</f>
        <v/>
      </c>
      <c r="F269" s="58" t="str">
        <f>keiyakuid256&amp;""</f>
        <v/>
      </c>
      <c r="I269" t="str">
        <f>IF(accelikkatsu256="","希望しない",accelikkatsu256)</f>
        <v>希望しない</v>
      </c>
      <c r="J269" t="str">
        <f>IF(belugabunyn256="","なし",belugabunyn256)</f>
        <v>なし</v>
      </c>
      <c r="K269" s="59" t="str">
        <f>belugabun256&amp;""</f>
        <v/>
      </c>
      <c r="L269" t="b">
        <f>shutoku256</f>
        <v>0</v>
      </c>
    </row>
    <row r="270" spans="1:12">
      <c r="A270">
        <v>257</v>
      </c>
      <c r="C270" t="str">
        <f>shubetsu257&amp;""</f>
        <v/>
      </c>
      <c r="D270" s="58" t="str">
        <f>billid257&amp;""</f>
        <v/>
      </c>
      <c r="E270" s="58" t="str">
        <f>UPPER(SUBSTITUTE(番明[[#This Row],[ご請求番号]],"-",""))</f>
        <v/>
      </c>
      <c r="F270" s="58" t="str">
        <f>keiyakuid257&amp;""</f>
        <v/>
      </c>
      <c r="I270" t="str">
        <f>IF(accelikkatsu257="","希望しない",accelikkatsu257)</f>
        <v>希望しない</v>
      </c>
      <c r="J270" t="str">
        <f>IF(belugabunyn257="","なし",belugabunyn257)</f>
        <v>なし</v>
      </c>
      <c r="K270" s="59" t="str">
        <f>belugabun257&amp;""</f>
        <v/>
      </c>
      <c r="L270" t="b">
        <f>shutoku257</f>
        <v>0</v>
      </c>
    </row>
    <row r="271" spans="1:12">
      <c r="A271">
        <v>258</v>
      </c>
      <c r="C271" t="str">
        <f>shubetsu258&amp;""</f>
        <v/>
      </c>
      <c r="D271" s="58" t="str">
        <f>billid258&amp;""</f>
        <v/>
      </c>
      <c r="E271" s="58" t="str">
        <f>UPPER(SUBSTITUTE(番明[[#This Row],[ご請求番号]],"-",""))</f>
        <v/>
      </c>
      <c r="F271" s="58" t="str">
        <f>keiyakuid258&amp;""</f>
        <v/>
      </c>
      <c r="I271" t="str">
        <f>IF(accelikkatsu258="","希望しない",accelikkatsu258)</f>
        <v>希望しない</v>
      </c>
      <c r="J271" t="str">
        <f>IF(belugabunyn258="","なし",belugabunyn258)</f>
        <v>なし</v>
      </c>
      <c r="K271" s="59" t="str">
        <f>belugabun258&amp;""</f>
        <v/>
      </c>
      <c r="L271" t="b">
        <f>shutoku258</f>
        <v>0</v>
      </c>
    </row>
    <row r="272" spans="1:12">
      <c r="A272">
        <v>259</v>
      </c>
      <c r="C272" t="str">
        <f>shubetsu259&amp;""</f>
        <v/>
      </c>
      <c r="D272" s="58" t="str">
        <f>billid259&amp;""</f>
        <v/>
      </c>
      <c r="E272" s="58" t="str">
        <f>UPPER(SUBSTITUTE(番明[[#This Row],[ご請求番号]],"-",""))</f>
        <v/>
      </c>
      <c r="F272" s="58" t="str">
        <f>keiyakuid259&amp;""</f>
        <v/>
      </c>
      <c r="I272" t="str">
        <f>IF(accelikkatsu259="","希望しない",accelikkatsu259)</f>
        <v>希望しない</v>
      </c>
      <c r="J272" t="str">
        <f>IF(belugabunyn259="","なし",belugabunyn259)</f>
        <v>なし</v>
      </c>
      <c r="K272" s="59" t="str">
        <f>belugabun259&amp;""</f>
        <v/>
      </c>
      <c r="L272" t="b">
        <f>shutoku259</f>
        <v>0</v>
      </c>
    </row>
    <row r="273" spans="1:12">
      <c r="A273">
        <v>260</v>
      </c>
      <c r="C273" t="str">
        <f>shubetsu260&amp;""</f>
        <v/>
      </c>
      <c r="D273" s="58" t="str">
        <f>billid260&amp;""</f>
        <v/>
      </c>
      <c r="E273" s="58" t="str">
        <f>UPPER(SUBSTITUTE(番明[[#This Row],[ご請求番号]],"-",""))</f>
        <v/>
      </c>
      <c r="F273" s="58" t="str">
        <f>keiyakuid260&amp;""</f>
        <v/>
      </c>
      <c r="I273" t="str">
        <f>IF(accelikkatsu260="","希望しない",accelikkatsu260)</f>
        <v>希望しない</v>
      </c>
      <c r="J273" t="str">
        <f>IF(belugabunyn260="","なし",belugabunyn260)</f>
        <v>なし</v>
      </c>
      <c r="K273" s="59" t="str">
        <f>belugabun260&amp;""</f>
        <v/>
      </c>
      <c r="L273" t="b">
        <f>shutoku260</f>
        <v>0</v>
      </c>
    </row>
    <row r="274" spans="1:12">
      <c r="A274">
        <v>261</v>
      </c>
      <c r="C274" t="str">
        <f>shubetsu261&amp;""</f>
        <v/>
      </c>
      <c r="D274" s="58" t="str">
        <f>billid261&amp;""</f>
        <v/>
      </c>
      <c r="E274" s="58" t="str">
        <f>UPPER(SUBSTITUTE(番明[[#This Row],[ご請求番号]],"-",""))</f>
        <v/>
      </c>
      <c r="F274" s="58" t="str">
        <f>keiyakuid261&amp;""</f>
        <v/>
      </c>
      <c r="I274" t="str">
        <f>IF(accelikkatsu261="","希望しない",accelikkatsu261)</f>
        <v>希望しない</v>
      </c>
      <c r="J274" t="str">
        <f>IF(belugabunyn261="","なし",belugabunyn261)</f>
        <v>なし</v>
      </c>
      <c r="K274" s="59" t="str">
        <f>belugabun261&amp;""</f>
        <v/>
      </c>
      <c r="L274" t="b">
        <f>shutoku261</f>
        <v>0</v>
      </c>
    </row>
    <row r="275" spans="1:12">
      <c r="A275">
        <v>262</v>
      </c>
      <c r="C275" t="str">
        <f>shubetsu262&amp;""</f>
        <v/>
      </c>
      <c r="D275" s="58" t="str">
        <f>billid262&amp;""</f>
        <v/>
      </c>
      <c r="E275" s="58" t="str">
        <f>UPPER(SUBSTITUTE(番明[[#This Row],[ご請求番号]],"-",""))</f>
        <v/>
      </c>
      <c r="F275" s="58" t="str">
        <f>keiyakuid262&amp;""</f>
        <v/>
      </c>
      <c r="I275" t="str">
        <f>IF(accelikkatsu262="","希望しない",accelikkatsu262)</f>
        <v>希望しない</v>
      </c>
      <c r="J275" t="str">
        <f>IF(belugabunyn262="","なし",belugabunyn262)</f>
        <v>なし</v>
      </c>
      <c r="K275" s="59" t="str">
        <f>belugabun262&amp;""</f>
        <v/>
      </c>
      <c r="L275" t="b">
        <f>shutoku262</f>
        <v>0</v>
      </c>
    </row>
    <row r="276" spans="1:12">
      <c r="A276">
        <v>263</v>
      </c>
      <c r="C276" t="str">
        <f>shubetsu263&amp;""</f>
        <v/>
      </c>
      <c r="D276" s="58" t="str">
        <f>billid263&amp;""</f>
        <v/>
      </c>
      <c r="E276" s="58" t="str">
        <f>UPPER(SUBSTITUTE(番明[[#This Row],[ご請求番号]],"-",""))</f>
        <v/>
      </c>
      <c r="F276" s="58" t="str">
        <f>keiyakuid263&amp;""</f>
        <v/>
      </c>
      <c r="I276" t="str">
        <f>IF(accelikkatsu263="","希望しない",accelikkatsu263)</f>
        <v>希望しない</v>
      </c>
      <c r="J276" t="str">
        <f>IF(belugabunyn263="","なし",belugabunyn263)</f>
        <v>なし</v>
      </c>
      <c r="K276" s="59" t="str">
        <f>belugabun263&amp;""</f>
        <v/>
      </c>
      <c r="L276" t="b">
        <f>shutoku263</f>
        <v>0</v>
      </c>
    </row>
    <row r="277" spans="1:12">
      <c r="A277">
        <v>264</v>
      </c>
      <c r="C277" t="str">
        <f>shubetsu264&amp;""</f>
        <v/>
      </c>
      <c r="D277" s="58" t="str">
        <f>billid264&amp;""</f>
        <v/>
      </c>
      <c r="E277" s="58" t="str">
        <f>UPPER(SUBSTITUTE(番明[[#This Row],[ご請求番号]],"-",""))</f>
        <v/>
      </c>
      <c r="F277" s="58" t="str">
        <f>keiyakuid264&amp;""</f>
        <v/>
      </c>
      <c r="I277" t="str">
        <f>IF(accelikkatsu264="","希望しない",accelikkatsu264)</f>
        <v>希望しない</v>
      </c>
      <c r="J277" t="str">
        <f>IF(belugabunyn264="","なし",belugabunyn264)</f>
        <v>なし</v>
      </c>
      <c r="K277" s="59" t="str">
        <f>belugabun264&amp;""</f>
        <v/>
      </c>
      <c r="L277" t="b">
        <f>shutoku264</f>
        <v>0</v>
      </c>
    </row>
    <row r="278" spans="1:12">
      <c r="A278">
        <v>265</v>
      </c>
      <c r="C278" t="str">
        <f>shubetsu265&amp;""</f>
        <v/>
      </c>
      <c r="D278" s="58" t="str">
        <f>billid265&amp;""</f>
        <v/>
      </c>
      <c r="E278" s="58" t="str">
        <f>UPPER(SUBSTITUTE(番明[[#This Row],[ご請求番号]],"-",""))</f>
        <v/>
      </c>
      <c r="F278" s="58" t="str">
        <f>keiyakuid265&amp;""</f>
        <v/>
      </c>
      <c r="I278" t="str">
        <f>IF(accelikkatsu265="","希望しない",accelikkatsu265)</f>
        <v>希望しない</v>
      </c>
      <c r="J278" t="str">
        <f>IF(belugabunyn265="","なし",belugabunyn265)</f>
        <v>なし</v>
      </c>
      <c r="K278" s="59" t="str">
        <f>belugabun265&amp;""</f>
        <v/>
      </c>
      <c r="L278" t="b">
        <f>shutoku265</f>
        <v>0</v>
      </c>
    </row>
    <row r="279" spans="1:12">
      <c r="A279">
        <v>266</v>
      </c>
      <c r="C279" t="str">
        <f>shubetsu266&amp;""</f>
        <v/>
      </c>
      <c r="D279" s="58" t="str">
        <f>billid266&amp;""</f>
        <v/>
      </c>
      <c r="E279" s="58" t="str">
        <f>UPPER(SUBSTITUTE(番明[[#This Row],[ご請求番号]],"-",""))</f>
        <v/>
      </c>
      <c r="F279" s="58" t="str">
        <f>keiyakuid266&amp;""</f>
        <v/>
      </c>
      <c r="I279" t="str">
        <f>IF(accelikkatsu266="","希望しない",accelikkatsu266)</f>
        <v>希望しない</v>
      </c>
      <c r="J279" t="str">
        <f>IF(belugabunyn266="","なし",belugabunyn266)</f>
        <v>なし</v>
      </c>
      <c r="K279" s="59" t="str">
        <f>belugabun266&amp;""</f>
        <v/>
      </c>
      <c r="L279" t="b">
        <f>shutoku266</f>
        <v>0</v>
      </c>
    </row>
    <row r="280" spans="1:12">
      <c r="A280">
        <v>267</v>
      </c>
      <c r="C280" t="str">
        <f>shubetsu267&amp;""</f>
        <v/>
      </c>
      <c r="D280" s="58" t="str">
        <f>billid267&amp;""</f>
        <v/>
      </c>
      <c r="E280" s="58" t="str">
        <f>UPPER(SUBSTITUTE(番明[[#This Row],[ご請求番号]],"-",""))</f>
        <v/>
      </c>
      <c r="F280" s="58" t="str">
        <f>keiyakuid267&amp;""</f>
        <v/>
      </c>
      <c r="I280" t="str">
        <f>IF(accelikkatsu267="","希望しない",accelikkatsu267)</f>
        <v>希望しない</v>
      </c>
      <c r="J280" t="str">
        <f>IF(belugabunyn267="","なし",belugabunyn267)</f>
        <v>なし</v>
      </c>
      <c r="K280" s="59" t="str">
        <f>belugabun267&amp;""</f>
        <v/>
      </c>
      <c r="L280" t="b">
        <f>shutoku267</f>
        <v>0</v>
      </c>
    </row>
    <row r="281" spans="1:12">
      <c r="A281">
        <v>268</v>
      </c>
      <c r="C281" t="str">
        <f>shubetsu268&amp;""</f>
        <v/>
      </c>
      <c r="D281" s="58" t="str">
        <f>billid268&amp;""</f>
        <v/>
      </c>
      <c r="E281" s="58" t="str">
        <f>UPPER(SUBSTITUTE(番明[[#This Row],[ご請求番号]],"-",""))</f>
        <v/>
      </c>
      <c r="F281" s="58" t="str">
        <f>keiyakuid268&amp;""</f>
        <v/>
      </c>
      <c r="I281" t="str">
        <f>IF(accelikkatsu268="","希望しない",accelikkatsu268)</f>
        <v>希望しない</v>
      </c>
      <c r="J281" t="str">
        <f>IF(belugabunyn268="","なし",belugabunyn268)</f>
        <v>なし</v>
      </c>
      <c r="K281" s="59" t="str">
        <f>belugabun268&amp;""</f>
        <v/>
      </c>
      <c r="L281" t="b">
        <f>shutoku268</f>
        <v>0</v>
      </c>
    </row>
    <row r="282" spans="1:12">
      <c r="A282">
        <v>269</v>
      </c>
      <c r="C282" t="str">
        <f>shubetsu269&amp;""</f>
        <v/>
      </c>
      <c r="D282" s="58" t="str">
        <f>billid269&amp;""</f>
        <v/>
      </c>
      <c r="E282" s="58" t="str">
        <f>UPPER(SUBSTITUTE(番明[[#This Row],[ご請求番号]],"-",""))</f>
        <v/>
      </c>
      <c r="F282" s="58" t="str">
        <f>keiyakuid269&amp;""</f>
        <v/>
      </c>
      <c r="I282" t="str">
        <f>IF(accelikkatsu269="","希望しない",accelikkatsu269)</f>
        <v>希望しない</v>
      </c>
      <c r="J282" t="str">
        <f>IF(belugabunyn269="","なし",belugabunyn269)</f>
        <v>なし</v>
      </c>
      <c r="K282" s="59" t="str">
        <f>belugabun269&amp;""</f>
        <v/>
      </c>
      <c r="L282" t="b">
        <f>shutoku269</f>
        <v>0</v>
      </c>
    </row>
    <row r="283" spans="1:12">
      <c r="A283">
        <v>270</v>
      </c>
      <c r="C283" t="str">
        <f>shubetsu270&amp;""</f>
        <v/>
      </c>
      <c r="D283" s="58" t="str">
        <f>billid270&amp;""</f>
        <v/>
      </c>
      <c r="E283" s="58" t="str">
        <f>UPPER(SUBSTITUTE(番明[[#This Row],[ご請求番号]],"-",""))</f>
        <v/>
      </c>
      <c r="F283" s="58" t="str">
        <f>keiyakuid270&amp;""</f>
        <v/>
      </c>
      <c r="I283" t="str">
        <f>IF(accelikkatsu270="","希望しない",accelikkatsu270)</f>
        <v>希望しない</v>
      </c>
      <c r="J283" t="str">
        <f>IF(belugabunyn270="","なし",belugabunyn270)</f>
        <v>なし</v>
      </c>
      <c r="K283" s="59" t="str">
        <f>belugabun270&amp;""</f>
        <v/>
      </c>
      <c r="L283" t="b">
        <f>shutoku270</f>
        <v>0</v>
      </c>
    </row>
    <row r="284" spans="1:12">
      <c r="A284">
        <v>271</v>
      </c>
      <c r="C284" t="str">
        <f>shubetsu271&amp;""</f>
        <v/>
      </c>
      <c r="D284" s="58" t="str">
        <f>billid271&amp;""</f>
        <v/>
      </c>
      <c r="E284" s="58" t="str">
        <f>UPPER(SUBSTITUTE(番明[[#This Row],[ご請求番号]],"-",""))</f>
        <v/>
      </c>
      <c r="F284" s="58" t="str">
        <f>keiyakuid271&amp;""</f>
        <v/>
      </c>
      <c r="I284" t="str">
        <f>IF(accelikkatsu271="","希望しない",accelikkatsu271)</f>
        <v>希望しない</v>
      </c>
      <c r="J284" t="str">
        <f>IF(belugabunyn271="","なし",belugabunyn271)</f>
        <v>なし</v>
      </c>
      <c r="K284" s="59" t="str">
        <f>belugabun271&amp;""</f>
        <v/>
      </c>
      <c r="L284" t="b">
        <f>shutoku271</f>
        <v>0</v>
      </c>
    </row>
    <row r="285" spans="1:12">
      <c r="A285">
        <v>272</v>
      </c>
      <c r="C285" t="str">
        <f>shubetsu272&amp;""</f>
        <v/>
      </c>
      <c r="D285" s="58" t="str">
        <f>billid272&amp;""</f>
        <v/>
      </c>
      <c r="E285" s="58" t="str">
        <f>UPPER(SUBSTITUTE(番明[[#This Row],[ご請求番号]],"-",""))</f>
        <v/>
      </c>
      <c r="F285" s="58" t="str">
        <f>keiyakuid272&amp;""</f>
        <v/>
      </c>
      <c r="I285" t="str">
        <f>IF(accelikkatsu272="","希望しない",accelikkatsu272)</f>
        <v>希望しない</v>
      </c>
      <c r="J285" t="str">
        <f>IF(belugabunyn272="","なし",belugabunyn272)</f>
        <v>なし</v>
      </c>
      <c r="K285" s="59" t="str">
        <f>belugabun272&amp;""</f>
        <v/>
      </c>
      <c r="L285" t="b">
        <f>shutoku272</f>
        <v>0</v>
      </c>
    </row>
    <row r="286" spans="1:12">
      <c r="A286">
        <v>273</v>
      </c>
      <c r="C286" t="str">
        <f>shubetsu273&amp;""</f>
        <v/>
      </c>
      <c r="D286" s="58" t="str">
        <f>billid273&amp;""</f>
        <v/>
      </c>
      <c r="E286" s="58" t="str">
        <f>UPPER(SUBSTITUTE(番明[[#This Row],[ご請求番号]],"-",""))</f>
        <v/>
      </c>
      <c r="F286" s="58" t="str">
        <f>keiyakuid273&amp;""</f>
        <v/>
      </c>
      <c r="I286" t="str">
        <f>IF(accelikkatsu273="","希望しない",accelikkatsu273)</f>
        <v>希望しない</v>
      </c>
      <c r="J286" t="str">
        <f>IF(belugabunyn273="","なし",belugabunyn273)</f>
        <v>なし</v>
      </c>
      <c r="K286" s="59" t="str">
        <f>belugabun273&amp;""</f>
        <v/>
      </c>
      <c r="L286" t="b">
        <f>shutoku273</f>
        <v>0</v>
      </c>
    </row>
    <row r="287" spans="1:12">
      <c r="A287">
        <v>274</v>
      </c>
      <c r="C287" t="str">
        <f>shubetsu274&amp;""</f>
        <v/>
      </c>
      <c r="D287" s="58" t="str">
        <f>billid274&amp;""</f>
        <v/>
      </c>
      <c r="E287" s="58" t="str">
        <f>UPPER(SUBSTITUTE(番明[[#This Row],[ご請求番号]],"-",""))</f>
        <v/>
      </c>
      <c r="F287" s="58" t="str">
        <f>keiyakuid274&amp;""</f>
        <v/>
      </c>
      <c r="I287" t="str">
        <f>IF(accelikkatsu274="","希望しない",accelikkatsu274)</f>
        <v>希望しない</v>
      </c>
      <c r="J287" t="str">
        <f>IF(belugabunyn274="","なし",belugabunyn274)</f>
        <v>なし</v>
      </c>
      <c r="K287" s="59" t="str">
        <f>belugabun274&amp;""</f>
        <v/>
      </c>
      <c r="L287" t="b">
        <f>shutoku274</f>
        <v>0</v>
      </c>
    </row>
    <row r="288" spans="1:12">
      <c r="A288">
        <v>275</v>
      </c>
      <c r="C288" t="str">
        <f>shubetsu275&amp;""</f>
        <v/>
      </c>
      <c r="D288" s="58" t="str">
        <f>billid275&amp;""</f>
        <v/>
      </c>
      <c r="E288" s="58" t="str">
        <f>UPPER(SUBSTITUTE(番明[[#This Row],[ご請求番号]],"-",""))</f>
        <v/>
      </c>
      <c r="F288" s="58" t="str">
        <f>keiyakuid275&amp;""</f>
        <v/>
      </c>
      <c r="I288" t="str">
        <f>IF(accelikkatsu275="","希望しない",accelikkatsu275)</f>
        <v>希望しない</v>
      </c>
      <c r="J288" t="str">
        <f>IF(belugabunyn275="","なし",belugabunyn275)</f>
        <v>なし</v>
      </c>
      <c r="K288" s="59" t="str">
        <f>belugabun275&amp;""</f>
        <v/>
      </c>
      <c r="L288" t="b">
        <f>shutoku275</f>
        <v>0</v>
      </c>
    </row>
    <row r="289" spans="1:12">
      <c r="A289">
        <v>276</v>
      </c>
      <c r="C289" t="str">
        <f>shubetsu276&amp;""</f>
        <v/>
      </c>
      <c r="D289" s="58" t="str">
        <f>billid276&amp;""</f>
        <v/>
      </c>
      <c r="E289" s="58" t="str">
        <f>UPPER(SUBSTITUTE(番明[[#This Row],[ご請求番号]],"-",""))</f>
        <v/>
      </c>
      <c r="F289" s="58" t="str">
        <f>keiyakuid276&amp;""</f>
        <v/>
      </c>
      <c r="I289" t="str">
        <f>IF(accelikkatsu276="","希望しない",accelikkatsu276)</f>
        <v>希望しない</v>
      </c>
      <c r="J289" t="str">
        <f>IF(belugabunyn276="","なし",belugabunyn276)</f>
        <v>なし</v>
      </c>
      <c r="K289" s="59" t="str">
        <f>belugabun276&amp;""</f>
        <v/>
      </c>
      <c r="L289" t="b">
        <f>shutoku276</f>
        <v>0</v>
      </c>
    </row>
    <row r="290" spans="1:12">
      <c r="A290">
        <v>277</v>
      </c>
      <c r="C290" t="str">
        <f>shubetsu277&amp;""</f>
        <v/>
      </c>
      <c r="D290" s="58" t="str">
        <f>billid277&amp;""</f>
        <v/>
      </c>
      <c r="E290" s="58" t="str">
        <f>UPPER(SUBSTITUTE(番明[[#This Row],[ご請求番号]],"-",""))</f>
        <v/>
      </c>
      <c r="F290" s="58" t="str">
        <f>keiyakuid277&amp;""</f>
        <v/>
      </c>
      <c r="I290" t="str">
        <f>IF(accelikkatsu277="","希望しない",accelikkatsu277)</f>
        <v>希望しない</v>
      </c>
      <c r="J290" t="str">
        <f>IF(belugabunyn277="","なし",belugabunyn277)</f>
        <v>なし</v>
      </c>
      <c r="K290" s="59" t="str">
        <f>belugabun277&amp;""</f>
        <v/>
      </c>
      <c r="L290" t="b">
        <f>shutoku277</f>
        <v>0</v>
      </c>
    </row>
    <row r="291" spans="1:12">
      <c r="A291">
        <v>278</v>
      </c>
      <c r="C291" t="str">
        <f>shubetsu278&amp;""</f>
        <v/>
      </c>
      <c r="D291" s="58" t="str">
        <f>billid278&amp;""</f>
        <v/>
      </c>
      <c r="E291" s="58" t="str">
        <f>UPPER(SUBSTITUTE(番明[[#This Row],[ご請求番号]],"-",""))</f>
        <v/>
      </c>
      <c r="F291" s="58" t="str">
        <f>keiyakuid278&amp;""</f>
        <v/>
      </c>
      <c r="I291" t="str">
        <f>IF(accelikkatsu278="","希望しない",accelikkatsu278)</f>
        <v>希望しない</v>
      </c>
      <c r="J291" t="str">
        <f>IF(belugabunyn278="","なし",belugabunyn278)</f>
        <v>なし</v>
      </c>
      <c r="K291" s="59" t="str">
        <f>belugabun278&amp;""</f>
        <v/>
      </c>
      <c r="L291" t="b">
        <f>shutoku278</f>
        <v>0</v>
      </c>
    </row>
    <row r="292" spans="1:12">
      <c r="A292">
        <v>279</v>
      </c>
      <c r="C292" t="str">
        <f>shubetsu279&amp;""</f>
        <v/>
      </c>
      <c r="D292" s="58" t="str">
        <f>billid279&amp;""</f>
        <v/>
      </c>
      <c r="E292" s="58" t="str">
        <f>UPPER(SUBSTITUTE(番明[[#This Row],[ご請求番号]],"-",""))</f>
        <v/>
      </c>
      <c r="F292" s="58" t="str">
        <f>keiyakuid279&amp;""</f>
        <v/>
      </c>
      <c r="I292" t="str">
        <f>IF(accelikkatsu279="","希望しない",accelikkatsu279)</f>
        <v>希望しない</v>
      </c>
      <c r="J292" t="str">
        <f>IF(belugabunyn279="","なし",belugabunyn279)</f>
        <v>なし</v>
      </c>
      <c r="K292" s="59" t="str">
        <f>belugabun279&amp;""</f>
        <v/>
      </c>
      <c r="L292" t="b">
        <f>shutoku279</f>
        <v>0</v>
      </c>
    </row>
    <row r="293" spans="1:12">
      <c r="A293">
        <v>280</v>
      </c>
      <c r="C293" t="str">
        <f>shubetsu280&amp;""</f>
        <v/>
      </c>
      <c r="D293" s="58" t="str">
        <f>billid280&amp;""</f>
        <v/>
      </c>
      <c r="E293" s="58" t="str">
        <f>UPPER(SUBSTITUTE(番明[[#This Row],[ご請求番号]],"-",""))</f>
        <v/>
      </c>
      <c r="F293" s="58" t="str">
        <f>keiyakuid280&amp;""</f>
        <v/>
      </c>
      <c r="I293" t="str">
        <f>IF(accelikkatsu280="","希望しない",accelikkatsu280)</f>
        <v>希望しない</v>
      </c>
      <c r="J293" t="str">
        <f>IF(belugabunyn280="","なし",belugabunyn280)</f>
        <v>なし</v>
      </c>
      <c r="K293" s="59" t="str">
        <f>belugabun280&amp;""</f>
        <v/>
      </c>
      <c r="L293" t="b">
        <f>shutoku280</f>
        <v>0</v>
      </c>
    </row>
    <row r="294" spans="1:12">
      <c r="A294">
        <v>281</v>
      </c>
      <c r="C294" t="str">
        <f>shubetsu281&amp;""</f>
        <v/>
      </c>
      <c r="D294" s="58" t="str">
        <f>billid281&amp;""</f>
        <v/>
      </c>
      <c r="E294" s="58" t="str">
        <f>UPPER(SUBSTITUTE(番明[[#This Row],[ご請求番号]],"-",""))</f>
        <v/>
      </c>
      <c r="F294" s="58" t="str">
        <f>keiyakuid281&amp;""</f>
        <v/>
      </c>
      <c r="I294" t="str">
        <f>IF(accelikkatsu281="","希望しない",accelikkatsu281)</f>
        <v>希望しない</v>
      </c>
      <c r="J294" t="str">
        <f>IF(belugabunyn281="","なし",belugabunyn281)</f>
        <v>なし</v>
      </c>
      <c r="K294" s="59" t="str">
        <f>belugabun281&amp;""</f>
        <v/>
      </c>
      <c r="L294" t="b">
        <f>shutoku281</f>
        <v>0</v>
      </c>
    </row>
    <row r="295" spans="1:12">
      <c r="A295">
        <v>282</v>
      </c>
      <c r="C295" t="str">
        <f>shubetsu282&amp;""</f>
        <v/>
      </c>
      <c r="D295" s="58" t="str">
        <f>billid282&amp;""</f>
        <v/>
      </c>
      <c r="E295" s="58" t="str">
        <f>UPPER(SUBSTITUTE(番明[[#This Row],[ご請求番号]],"-",""))</f>
        <v/>
      </c>
      <c r="F295" s="58" t="str">
        <f>keiyakuid282&amp;""</f>
        <v/>
      </c>
      <c r="I295" t="str">
        <f>IF(accelikkatsu282="","希望しない",accelikkatsu282)</f>
        <v>希望しない</v>
      </c>
      <c r="J295" t="str">
        <f>IF(belugabunyn282="","なし",belugabunyn282)</f>
        <v>なし</v>
      </c>
      <c r="K295" s="59" t="str">
        <f>belugabun282&amp;""</f>
        <v/>
      </c>
      <c r="L295" t="b">
        <f>shutoku282</f>
        <v>0</v>
      </c>
    </row>
    <row r="296" spans="1:12">
      <c r="A296">
        <v>283</v>
      </c>
      <c r="C296" t="str">
        <f>shubetsu283&amp;""</f>
        <v/>
      </c>
      <c r="D296" s="58" t="str">
        <f>billid283&amp;""</f>
        <v/>
      </c>
      <c r="E296" s="58" t="str">
        <f>UPPER(SUBSTITUTE(番明[[#This Row],[ご請求番号]],"-",""))</f>
        <v/>
      </c>
      <c r="F296" s="58" t="str">
        <f>keiyakuid283&amp;""</f>
        <v/>
      </c>
      <c r="I296" t="str">
        <f>IF(accelikkatsu283="","希望しない",accelikkatsu283)</f>
        <v>希望しない</v>
      </c>
      <c r="J296" t="str">
        <f>IF(belugabunyn283="","なし",belugabunyn283)</f>
        <v>なし</v>
      </c>
      <c r="K296" s="59" t="str">
        <f>belugabun283&amp;""</f>
        <v/>
      </c>
      <c r="L296" t="b">
        <f>shutoku283</f>
        <v>0</v>
      </c>
    </row>
    <row r="297" spans="1:12">
      <c r="A297">
        <v>284</v>
      </c>
      <c r="C297" t="str">
        <f>shubetsu284&amp;""</f>
        <v/>
      </c>
      <c r="D297" s="58" t="str">
        <f>billid284&amp;""</f>
        <v/>
      </c>
      <c r="E297" s="58" t="str">
        <f>UPPER(SUBSTITUTE(番明[[#This Row],[ご請求番号]],"-",""))</f>
        <v/>
      </c>
      <c r="F297" s="58" t="str">
        <f>keiyakuid284&amp;""</f>
        <v/>
      </c>
      <c r="I297" t="str">
        <f>IF(accelikkatsu284="","希望しない",accelikkatsu284)</f>
        <v>希望しない</v>
      </c>
      <c r="J297" t="str">
        <f>IF(belugabunyn284="","なし",belugabunyn284)</f>
        <v>なし</v>
      </c>
      <c r="K297" s="59" t="str">
        <f>belugabun284&amp;""</f>
        <v/>
      </c>
      <c r="L297" t="b">
        <f>shutoku284</f>
        <v>0</v>
      </c>
    </row>
    <row r="298" spans="1:12">
      <c r="A298">
        <v>285</v>
      </c>
      <c r="C298" t="str">
        <f>shubetsu285&amp;""</f>
        <v/>
      </c>
      <c r="D298" s="58" t="str">
        <f>billid285&amp;""</f>
        <v/>
      </c>
      <c r="E298" s="58" t="str">
        <f>UPPER(SUBSTITUTE(番明[[#This Row],[ご請求番号]],"-",""))</f>
        <v/>
      </c>
      <c r="F298" s="58" t="str">
        <f>keiyakuid285&amp;""</f>
        <v/>
      </c>
      <c r="I298" t="str">
        <f>IF(accelikkatsu285="","希望しない",accelikkatsu285)</f>
        <v>希望しない</v>
      </c>
      <c r="J298" t="str">
        <f>IF(belugabunyn285="","なし",belugabunyn285)</f>
        <v>なし</v>
      </c>
      <c r="K298" s="59" t="str">
        <f>belugabun285&amp;""</f>
        <v/>
      </c>
      <c r="L298" t="b">
        <f>shutoku285</f>
        <v>0</v>
      </c>
    </row>
    <row r="299" spans="1:12">
      <c r="A299">
        <v>286</v>
      </c>
      <c r="C299" t="str">
        <f>shubetsu286&amp;""</f>
        <v/>
      </c>
      <c r="D299" s="58" t="str">
        <f>billid286&amp;""</f>
        <v/>
      </c>
      <c r="E299" s="58" t="str">
        <f>UPPER(SUBSTITUTE(番明[[#This Row],[ご請求番号]],"-",""))</f>
        <v/>
      </c>
      <c r="F299" s="58" t="str">
        <f>keiyakuid286&amp;""</f>
        <v/>
      </c>
      <c r="I299" t="str">
        <f>IF(accelikkatsu286="","希望しない",accelikkatsu286)</f>
        <v>希望しない</v>
      </c>
      <c r="J299" t="str">
        <f>IF(belugabunyn286="","なし",belugabunyn286)</f>
        <v>なし</v>
      </c>
      <c r="K299" s="59" t="str">
        <f>belugabun286&amp;""</f>
        <v/>
      </c>
      <c r="L299" t="b">
        <f>shutoku286</f>
        <v>0</v>
      </c>
    </row>
    <row r="300" spans="1:12">
      <c r="A300">
        <v>287</v>
      </c>
      <c r="C300" t="str">
        <f>shubetsu287&amp;""</f>
        <v/>
      </c>
      <c r="D300" s="58" t="str">
        <f>billid287&amp;""</f>
        <v/>
      </c>
      <c r="E300" s="58" t="str">
        <f>UPPER(SUBSTITUTE(番明[[#This Row],[ご請求番号]],"-",""))</f>
        <v/>
      </c>
      <c r="F300" s="58" t="str">
        <f>keiyakuid287&amp;""</f>
        <v/>
      </c>
      <c r="I300" t="str">
        <f>IF(accelikkatsu287="","希望しない",accelikkatsu287)</f>
        <v>希望しない</v>
      </c>
      <c r="J300" t="str">
        <f>IF(belugabunyn287="","なし",belugabunyn287)</f>
        <v>なし</v>
      </c>
      <c r="K300" s="59" t="str">
        <f>belugabun287&amp;""</f>
        <v/>
      </c>
      <c r="L300" t="b">
        <f>shutoku287</f>
        <v>0</v>
      </c>
    </row>
    <row r="301" spans="1:12">
      <c r="A301">
        <v>288</v>
      </c>
      <c r="C301" t="str">
        <f>shubetsu288&amp;""</f>
        <v/>
      </c>
      <c r="D301" s="58" t="str">
        <f>billid288&amp;""</f>
        <v/>
      </c>
      <c r="E301" s="58" t="str">
        <f>UPPER(SUBSTITUTE(番明[[#This Row],[ご請求番号]],"-",""))</f>
        <v/>
      </c>
      <c r="F301" s="58" t="str">
        <f>keiyakuid288&amp;""</f>
        <v/>
      </c>
      <c r="I301" t="str">
        <f>IF(accelikkatsu288="","希望しない",accelikkatsu288)</f>
        <v>希望しない</v>
      </c>
      <c r="J301" t="str">
        <f>IF(belugabunyn288="","なし",belugabunyn288)</f>
        <v>なし</v>
      </c>
      <c r="K301" s="59" t="str">
        <f>belugabun288&amp;""</f>
        <v/>
      </c>
      <c r="L301" t="b">
        <f>shutoku288</f>
        <v>0</v>
      </c>
    </row>
    <row r="302" spans="1:12">
      <c r="A302">
        <v>289</v>
      </c>
      <c r="C302" t="str">
        <f>shubetsu289&amp;""</f>
        <v/>
      </c>
      <c r="D302" s="58" t="str">
        <f>billid289&amp;""</f>
        <v/>
      </c>
      <c r="E302" s="58" t="str">
        <f>UPPER(SUBSTITUTE(番明[[#This Row],[ご請求番号]],"-",""))</f>
        <v/>
      </c>
      <c r="F302" s="58" t="str">
        <f>keiyakuid289&amp;""</f>
        <v/>
      </c>
      <c r="I302" t="str">
        <f>IF(accelikkatsu289="","希望しない",accelikkatsu289)</f>
        <v>希望しない</v>
      </c>
      <c r="J302" t="str">
        <f>IF(belugabunyn289="","なし",belugabunyn289)</f>
        <v>なし</v>
      </c>
      <c r="K302" s="59" t="str">
        <f>belugabun289&amp;""</f>
        <v/>
      </c>
      <c r="L302" t="b">
        <f>shutoku289</f>
        <v>0</v>
      </c>
    </row>
    <row r="303" spans="1:12">
      <c r="A303">
        <v>290</v>
      </c>
      <c r="C303" t="str">
        <f>shubetsu290&amp;""</f>
        <v/>
      </c>
      <c r="D303" s="58" t="str">
        <f>billid290&amp;""</f>
        <v/>
      </c>
      <c r="E303" s="58" t="str">
        <f>UPPER(SUBSTITUTE(番明[[#This Row],[ご請求番号]],"-",""))</f>
        <v/>
      </c>
      <c r="F303" s="58" t="str">
        <f>keiyakuid290&amp;""</f>
        <v/>
      </c>
      <c r="I303" t="str">
        <f>IF(accelikkatsu290="","希望しない",accelikkatsu290)</f>
        <v>希望しない</v>
      </c>
      <c r="J303" t="str">
        <f>IF(belugabunyn290="","なし",belugabunyn290)</f>
        <v>なし</v>
      </c>
      <c r="K303" s="59" t="str">
        <f>belugabun290&amp;""</f>
        <v/>
      </c>
      <c r="L303" t="b">
        <f>shutoku290</f>
        <v>0</v>
      </c>
    </row>
    <row r="304" spans="1:12">
      <c r="A304">
        <v>291</v>
      </c>
      <c r="C304" t="str">
        <f>shubetsu291&amp;""</f>
        <v/>
      </c>
      <c r="D304" s="58" t="str">
        <f>billid291&amp;""</f>
        <v/>
      </c>
      <c r="E304" s="58" t="str">
        <f>UPPER(SUBSTITUTE(番明[[#This Row],[ご請求番号]],"-",""))</f>
        <v/>
      </c>
      <c r="F304" s="58" t="str">
        <f>keiyakuid291&amp;""</f>
        <v/>
      </c>
      <c r="I304" t="str">
        <f>IF(accelikkatsu291="","希望しない",accelikkatsu291)</f>
        <v>希望しない</v>
      </c>
      <c r="J304" t="str">
        <f>IF(belugabunyn291="","なし",belugabunyn291)</f>
        <v>なし</v>
      </c>
      <c r="K304" s="59" t="str">
        <f>belugabun291&amp;""</f>
        <v/>
      </c>
      <c r="L304" t="b">
        <f>shutoku291</f>
        <v>0</v>
      </c>
    </row>
    <row r="305" spans="1:12">
      <c r="A305">
        <v>292</v>
      </c>
      <c r="C305" t="str">
        <f>shubetsu292&amp;""</f>
        <v/>
      </c>
      <c r="D305" s="58" t="str">
        <f>billid292&amp;""</f>
        <v/>
      </c>
      <c r="E305" s="58" t="str">
        <f>UPPER(SUBSTITUTE(番明[[#This Row],[ご請求番号]],"-",""))</f>
        <v/>
      </c>
      <c r="F305" s="58" t="str">
        <f>keiyakuid292&amp;""</f>
        <v/>
      </c>
      <c r="I305" t="str">
        <f>IF(accelikkatsu292="","希望しない",accelikkatsu292)</f>
        <v>希望しない</v>
      </c>
      <c r="J305" t="str">
        <f>IF(belugabunyn292="","なし",belugabunyn292)</f>
        <v>なし</v>
      </c>
      <c r="K305" s="59" t="str">
        <f>belugabun292&amp;""</f>
        <v/>
      </c>
      <c r="L305" t="b">
        <f>shutoku292</f>
        <v>0</v>
      </c>
    </row>
    <row r="306" spans="1:12">
      <c r="A306">
        <v>293</v>
      </c>
      <c r="C306" t="str">
        <f>shubetsu293&amp;""</f>
        <v/>
      </c>
      <c r="D306" s="58" t="str">
        <f>billid293&amp;""</f>
        <v/>
      </c>
      <c r="E306" s="58" t="str">
        <f>UPPER(SUBSTITUTE(番明[[#This Row],[ご請求番号]],"-",""))</f>
        <v/>
      </c>
      <c r="F306" s="58" t="str">
        <f>keiyakuid293&amp;""</f>
        <v/>
      </c>
      <c r="I306" t="str">
        <f>IF(accelikkatsu293="","希望しない",accelikkatsu293)</f>
        <v>希望しない</v>
      </c>
      <c r="J306" t="str">
        <f>IF(belugabunyn293="","なし",belugabunyn293)</f>
        <v>なし</v>
      </c>
      <c r="K306" s="59" t="str">
        <f>belugabun293&amp;""</f>
        <v/>
      </c>
      <c r="L306" t="b">
        <f>shutoku293</f>
        <v>0</v>
      </c>
    </row>
    <row r="307" spans="1:12">
      <c r="A307">
        <v>294</v>
      </c>
      <c r="C307" t="str">
        <f>shubetsu294&amp;""</f>
        <v/>
      </c>
      <c r="D307" s="58" t="str">
        <f>billid294&amp;""</f>
        <v/>
      </c>
      <c r="E307" s="58" t="str">
        <f>UPPER(SUBSTITUTE(番明[[#This Row],[ご請求番号]],"-",""))</f>
        <v/>
      </c>
      <c r="F307" s="58" t="str">
        <f>keiyakuid294&amp;""</f>
        <v/>
      </c>
      <c r="I307" t="str">
        <f>IF(accelikkatsu294="","希望しない",accelikkatsu294)</f>
        <v>希望しない</v>
      </c>
      <c r="J307" t="str">
        <f>IF(belugabunyn294="","なし",belugabunyn294)</f>
        <v>なし</v>
      </c>
      <c r="K307" s="59" t="str">
        <f>belugabun294&amp;""</f>
        <v/>
      </c>
      <c r="L307" t="b">
        <f>shutoku294</f>
        <v>0</v>
      </c>
    </row>
    <row r="308" spans="1:12">
      <c r="A308">
        <v>295</v>
      </c>
      <c r="C308" t="str">
        <f>shubetsu295&amp;""</f>
        <v/>
      </c>
      <c r="D308" s="58" t="str">
        <f>billid295&amp;""</f>
        <v/>
      </c>
      <c r="E308" s="58" t="str">
        <f>UPPER(SUBSTITUTE(番明[[#This Row],[ご請求番号]],"-",""))</f>
        <v/>
      </c>
      <c r="F308" s="58" t="str">
        <f>keiyakuid295&amp;""</f>
        <v/>
      </c>
      <c r="I308" t="str">
        <f>IF(accelikkatsu295="","希望しない",accelikkatsu295)</f>
        <v>希望しない</v>
      </c>
      <c r="J308" t="str">
        <f>IF(belugabunyn295="","なし",belugabunyn295)</f>
        <v>なし</v>
      </c>
      <c r="K308" s="59" t="str">
        <f>belugabun295&amp;""</f>
        <v/>
      </c>
      <c r="L308" t="b">
        <f>shutoku295</f>
        <v>0</v>
      </c>
    </row>
    <row r="309" spans="1:12">
      <c r="A309">
        <v>296</v>
      </c>
      <c r="C309" t="str">
        <f>shubetsu296&amp;""</f>
        <v/>
      </c>
      <c r="D309" s="58" t="str">
        <f>billid296&amp;""</f>
        <v/>
      </c>
      <c r="E309" s="58" t="str">
        <f>UPPER(SUBSTITUTE(番明[[#This Row],[ご請求番号]],"-",""))</f>
        <v/>
      </c>
      <c r="F309" s="58" t="str">
        <f>keiyakuid296&amp;""</f>
        <v/>
      </c>
      <c r="I309" t="str">
        <f>IF(accelikkatsu296="","希望しない",accelikkatsu296)</f>
        <v>希望しない</v>
      </c>
      <c r="J309" t="str">
        <f>IF(belugabunyn296="","なし",belugabunyn296)</f>
        <v>なし</v>
      </c>
      <c r="K309" s="59" t="str">
        <f>belugabun296&amp;""</f>
        <v/>
      </c>
      <c r="L309" t="b">
        <f>shutoku296</f>
        <v>0</v>
      </c>
    </row>
    <row r="310" spans="1:12">
      <c r="A310">
        <v>297</v>
      </c>
      <c r="C310" t="str">
        <f>shubetsu297&amp;""</f>
        <v/>
      </c>
      <c r="D310" s="58" t="str">
        <f>billid297&amp;""</f>
        <v/>
      </c>
      <c r="E310" s="58" t="str">
        <f>UPPER(SUBSTITUTE(番明[[#This Row],[ご請求番号]],"-",""))</f>
        <v/>
      </c>
      <c r="F310" s="58" t="str">
        <f>keiyakuid297&amp;""</f>
        <v/>
      </c>
      <c r="I310" t="str">
        <f>IF(accelikkatsu297="","希望しない",accelikkatsu297)</f>
        <v>希望しない</v>
      </c>
      <c r="J310" t="str">
        <f>IF(belugabunyn297="","なし",belugabunyn297)</f>
        <v>なし</v>
      </c>
      <c r="K310" s="59" t="str">
        <f>belugabun297&amp;""</f>
        <v/>
      </c>
      <c r="L310" t="b">
        <f>shutoku297</f>
        <v>0</v>
      </c>
    </row>
    <row r="311" spans="1:12">
      <c r="A311">
        <v>298</v>
      </c>
      <c r="C311" t="str">
        <f>shubetsu298&amp;""</f>
        <v/>
      </c>
      <c r="D311" s="58" t="str">
        <f>billid298&amp;""</f>
        <v/>
      </c>
      <c r="E311" s="58" t="str">
        <f>UPPER(SUBSTITUTE(番明[[#This Row],[ご請求番号]],"-",""))</f>
        <v/>
      </c>
      <c r="F311" s="58" t="str">
        <f>keiyakuid298&amp;""</f>
        <v/>
      </c>
      <c r="I311" t="str">
        <f>IF(accelikkatsu298="","希望しない",accelikkatsu298)</f>
        <v>希望しない</v>
      </c>
      <c r="J311" t="str">
        <f>IF(belugabunyn298="","なし",belugabunyn298)</f>
        <v>なし</v>
      </c>
      <c r="K311" s="59" t="str">
        <f>belugabun298&amp;""</f>
        <v/>
      </c>
      <c r="L311" t="b">
        <f>shutoku298</f>
        <v>0</v>
      </c>
    </row>
    <row r="312" spans="1:12">
      <c r="A312">
        <v>299</v>
      </c>
      <c r="C312" t="str">
        <f>shubetsu299&amp;""</f>
        <v/>
      </c>
      <c r="D312" s="58" t="str">
        <f>billid299&amp;""</f>
        <v/>
      </c>
      <c r="E312" s="58" t="str">
        <f>UPPER(SUBSTITUTE(番明[[#This Row],[ご請求番号]],"-",""))</f>
        <v/>
      </c>
      <c r="F312" s="58" t="str">
        <f>keiyakuid299&amp;""</f>
        <v/>
      </c>
      <c r="I312" t="str">
        <f>IF(accelikkatsu299="","希望しない",accelikkatsu299)</f>
        <v>希望しない</v>
      </c>
      <c r="J312" t="str">
        <f>IF(belugabunyn299="","なし",belugabunyn299)</f>
        <v>なし</v>
      </c>
      <c r="K312" s="59" t="str">
        <f>belugabun299&amp;""</f>
        <v/>
      </c>
      <c r="L312" t="b">
        <f>shutoku299</f>
        <v>0</v>
      </c>
    </row>
    <row r="313" spans="1:12">
      <c r="A313">
        <v>300</v>
      </c>
      <c r="C313" t="str">
        <f>shubetsu300&amp;""</f>
        <v/>
      </c>
      <c r="D313" s="58" t="str">
        <f>billid300&amp;""</f>
        <v/>
      </c>
      <c r="E313" s="58" t="str">
        <f>UPPER(SUBSTITUTE(番明[[#This Row],[ご請求番号]],"-",""))</f>
        <v/>
      </c>
      <c r="F313" s="58" t="str">
        <f>keiyakuid300&amp;""</f>
        <v/>
      </c>
      <c r="I313" t="str">
        <f>IF(accelikkatsu300="","希望しない",accelikkatsu300)</f>
        <v>希望しない</v>
      </c>
      <c r="J313" t="str">
        <f>IF(belugabunyn300="","なし",belugabunyn300)</f>
        <v>なし</v>
      </c>
      <c r="K313" s="59" t="str">
        <f>belugabun300&amp;""</f>
        <v/>
      </c>
      <c r="L313" t="b">
        <f>shutoku300</f>
        <v>0</v>
      </c>
    </row>
    <row r="314" spans="1:12">
      <c r="A314">
        <v>301</v>
      </c>
      <c r="C314" t="str">
        <f>shubetsu301&amp;""</f>
        <v/>
      </c>
      <c r="D314" s="58" t="str">
        <f>billid301&amp;""</f>
        <v/>
      </c>
      <c r="E314" s="58" t="str">
        <f>UPPER(SUBSTITUTE(番明[[#This Row],[ご請求番号]],"-",""))</f>
        <v/>
      </c>
      <c r="F314" s="58" t="str">
        <f>keiyakuid301&amp;""</f>
        <v/>
      </c>
      <c r="I314" t="str">
        <f>IF(accelikkatsu301="","希望しない",accelikkatsu301)</f>
        <v>希望しない</v>
      </c>
      <c r="J314" t="str">
        <f>IF(belugabunyn301="","なし",belugabunyn301)</f>
        <v>なし</v>
      </c>
      <c r="K314" s="59" t="str">
        <f>belugabun301&amp;""</f>
        <v/>
      </c>
      <c r="L314" t="b">
        <f>shutoku301</f>
        <v>0</v>
      </c>
    </row>
    <row r="315" spans="1:12">
      <c r="A315">
        <v>302</v>
      </c>
      <c r="C315" t="str">
        <f>shubetsu302&amp;""</f>
        <v/>
      </c>
      <c r="D315" s="58" t="str">
        <f>billid302&amp;""</f>
        <v/>
      </c>
      <c r="E315" s="58" t="str">
        <f>UPPER(SUBSTITUTE(番明[[#This Row],[ご請求番号]],"-",""))</f>
        <v/>
      </c>
      <c r="F315" s="58" t="str">
        <f>keiyakuid302&amp;""</f>
        <v/>
      </c>
      <c r="I315" t="str">
        <f>IF(accelikkatsu302="","希望しない",accelikkatsu302)</f>
        <v>希望しない</v>
      </c>
      <c r="J315" t="str">
        <f>IF(belugabunyn302="","なし",belugabunyn302)</f>
        <v>なし</v>
      </c>
      <c r="K315" s="59" t="str">
        <f>belugabun302&amp;""</f>
        <v/>
      </c>
      <c r="L315" t="b">
        <f>shutoku302</f>
        <v>0</v>
      </c>
    </row>
    <row r="316" spans="1:12">
      <c r="A316">
        <v>303</v>
      </c>
      <c r="C316" t="str">
        <f>shubetsu303&amp;""</f>
        <v/>
      </c>
      <c r="D316" s="58" t="str">
        <f>billid303&amp;""</f>
        <v/>
      </c>
      <c r="E316" s="58" t="str">
        <f>UPPER(SUBSTITUTE(番明[[#This Row],[ご請求番号]],"-",""))</f>
        <v/>
      </c>
      <c r="F316" s="58" t="str">
        <f>keiyakuid303&amp;""</f>
        <v/>
      </c>
      <c r="I316" t="str">
        <f>IF(accelikkatsu303="","希望しない",accelikkatsu303)</f>
        <v>希望しない</v>
      </c>
      <c r="J316" t="str">
        <f>IF(belugabunyn303="","なし",belugabunyn303)</f>
        <v>なし</v>
      </c>
      <c r="K316" s="59" t="str">
        <f>belugabun303&amp;""</f>
        <v/>
      </c>
      <c r="L316" t="b">
        <f>shutoku303</f>
        <v>0</v>
      </c>
    </row>
    <row r="317" spans="1:12">
      <c r="A317">
        <v>304</v>
      </c>
      <c r="C317" t="str">
        <f>shubetsu304&amp;""</f>
        <v/>
      </c>
      <c r="D317" s="58" t="str">
        <f>billid304&amp;""</f>
        <v/>
      </c>
      <c r="E317" s="58" t="str">
        <f>UPPER(SUBSTITUTE(番明[[#This Row],[ご請求番号]],"-",""))</f>
        <v/>
      </c>
      <c r="F317" s="58" t="str">
        <f>keiyakuid304&amp;""</f>
        <v/>
      </c>
      <c r="I317" t="str">
        <f>IF(accelikkatsu304="","希望しない",accelikkatsu304)</f>
        <v>希望しない</v>
      </c>
      <c r="J317" t="str">
        <f>IF(belugabunyn304="","なし",belugabunyn304)</f>
        <v>なし</v>
      </c>
      <c r="K317" s="59" t="str">
        <f>belugabun304&amp;""</f>
        <v/>
      </c>
      <c r="L317" t="b">
        <f>shutoku304</f>
        <v>0</v>
      </c>
    </row>
    <row r="318" spans="1:12">
      <c r="A318">
        <v>305</v>
      </c>
      <c r="C318" t="str">
        <f>shubetsu305&amp;""</f>
        <v/>
      </c>
      <c r="D318" s="58" t="str">
        <f>billid305&amp;""</f>
        <v/>
      </c>
      <c r="E318" s="58" t="str">
        <f>UPPER(SUBSTITUTE(番明[[#This Row],[ご請求番号]],"-",""))</f>
        <v/>
      </c>
      <c r="F318" s="58" t="str">
        <f>keiyakuid305&amp;""</f>
        <v/>
      </c>
      <c r="I318" t="str">
        <f>IF(accelikkatsu305="","希望しない",accelikkatsu305)</f>
        <v>希望しない</v>
      </c>
      <c r="J318" t="str">
        <f>IF(belugabunyn305="","なし",belugabunyn305)</f>
        <v>なし</v>
      </c>
      <c r="K318" s="59" t="str">
        <f>belugabun305&amp;""</f>
        <v/>
      </c>
      <c r="L318" t="b">
        <f>shutoku305</f>
        <v>0</v>
      </c>
    </row>
    <row r="319" spans="1:12">
      <c r="A319">
        <v>306</v>
      </c>
      <c r="C319" t="str">
        <f>shubetsu306&amp;""</f>
        <v/>
      </c>
      <c r="D319" s="58" t="str">
        <f>billid306&amp;""</f>
        <v/>
      </c>
      <c r="E319" s="58" t="str">
        <f>UPPER(SUBSTITUTE(番明[[#This Row],[ご請求番号]],"-",""))</f>
        <v/>
      </c>
      <c r="F319" s="58" t="str">
        <f>keiyakuid306&amp;""</f>
        <v/>
      </c>
      <c r="I319" t="str">
        <f>IF(accelikkatsu306="","希望しない",accelikkatsu306)</f>
        <v>希望しない</v>
      </c>
      <c r="J319" t="str">
        <f>IF(belugabunyn306="","なし",belugabunyn306)</f>
        <v>なし</v>
      </c>
      <c r="K319" s="59" t="str">
        <f>belugabun306&amp;""</f>
        <v/>
      </c>
      <c r="L319" t="b">
        <f>shutoku306</f>
        <v>0</v>
      </c>
    </row>
    <row r="320" spans="1:12">
      <c r="A320">
        <v>307</v>
      </c>
      <c r="C320" t="str">
        <f>shubetsu307&amp;""</f>
        <v/>
      </c>
      <c r="D320" s="58" t="str">
        <f>billid307&amp;""</f>
        <v/>
      </c>
      <c r="E320" s="58" t="str">
        <f>UPPER(SUBSTITUTE(番明[[#This Row],[ご請求番号]],"-",""))</f>
        <v/>
      </c>
      <c r="F320" s="58" t="str">
        <f>keiyakuid307&amp;""</f>
        <v/>
      </c>
      <c r="I320" t="str">
        <f>IF(accelikkatsu307="","希望しない",accelikkatsu307)</f>
        <v>希望しない</v>
      </c>
      <c r="J320" t="str">
        <f>IF(belugabunyn307="","なし",belugabunyn307)</f>
        <v>なし</v>
      </c>
      <c r="K320" s="59" t="str">
        <f>belugabun307&amp;""</f>
        <v/>
      </c>
      <c r="L320" t="b">
        <f>shutoku307</f>
        <v>0</v>
      </c>
    </row>
    <row r="321" spans="1:12">
      <c r="A321">
        <v>308</v>
      </c>
      <c r="C321" t="str">
        <f>shubetsu308&amp;""</f>
        <v/>
      </c>
      <c r="D321" s="58" t="str">
        <f>billid308&amp;""</f>
        <v/>
      </c>
      <c r="E321" s="58" t="str">
        <f>UPPER(SUBSTITUTE(番明[[#This Row],[ご請求番号]],"-",""))</f>
        <v/>
      </c>
      <c r="F321" s="58" t="str">
        <f>keiyakuid308&amp;""</f>
        <v/>
      </c>
      <c r="I321" t="str">
        <f>IF(accelikkatsu308="","希望しない",accelikkatsu308)</f>
        <v>希望しない</v>
      </c>
      <c r="J321" t="str">
        <f>IF(belugabunyn308="","なし",belugabunyn308)</f>
        <v>なし</v>
      </c>
      <c r="K321" s="59" t="str">
        <f>belugabun308&amp;""</f>
        <v/>
      </c>
      <c r="L321" t="b">
        <f>shutoku308</f>
        <v>0</v>
      </c>
    </row>
    <row r="322" spans="1:12">
      <c r="A322">
        <v>309</v>
      </c>
      <c r="C322" t="str">
        <f>shubetsu309&amp;""</f>
        <v/>
      </c>
      <c r="D322" s="58" t="str">
        <f>billid309&amp;""</f>
        <v/>
      </c>
      <c r="E322" s="58" t="str">
        <f>UPPER(SUBSTITUTE(番明[[#This Row],[ご請求番号]],"-",""))</f>
        <v/>
      </c>
      <c r="F322" s="58" t="str">
        <f>keiyakuid309&amp;""</f>
        <v/>
      </c>
      <c r="I322" t="str">
        <f>IF(accelikkatsu309="","希望しない",accelikkatsu309)</f>
        <v>希望しない</v>
      </c>
      <c r="J322" t="str">
        <f>IF(belugabunyn309="","なし",belugabunyn309)</f>
        <v>なし</v>
      </c>
      <c r="K322" s="59" t="str">
        <f>belugabun309&amp;""</f>
        <v/>
      </c>
      <c r="L322" t="b">
        <f>shutoku309</f>
        <v>0</v>
      </c>
    </row>
    <row r="323" spans="1:12">
      <c r="A323">
        <v>310</v>
      </c>
      <c r="C323" t="str">
        <f>shubetsu310&amp;""</f>
        <v/>
      </c>
      <c r="D323" s="58" t="str">
        <f>billid310&amp;""</f>
        <v/>
      </c>
      <c r="E323" s="58" t="str">
        <f>UPPER(SUBSTITUTE(番明[[#This Row],[ご請求番号]],"-",""))</f>
        <v/>
      </c>
      <c r="F323" s="58" t="str">
        <f>keiyakuid310&amp;""</f>
        <v/>
      </c>
      <c r="I323" t="str">
        <f>IF(accelikkatsu310="","希望しない",accelikkatsu310)</f>
        <v>希望しない</v>
      </c>
      <c r="J323" t="str">
        <f>IF(belugabunyn310="","なし",belugabunyn310)</f>
        <v>なし</v>
      </c>
      <c r="K323" s="59" t="str">
        <f>belugabun310&amp;""</f>
        <v/>
      </c>
      <c r="L323" t="b">
        <f>shutoku310</f>
        <v>0</v>
      </c>
    </row>
    <row r="324" spans="1:12">
      <c r="A324">
        <v>311</v>
      </c>
      <c r="C324" t="str">
        <f>shubetsu311&amp;""</f>
        <v/>
      </c>
      <c r="D324" s="58" t="str">
        <f>billid311&amp;""</f>
        <v/>
      </c>
      <c r="E324" s="58" t="str">
        <f>UPPER(SUBSTITUTE(番明[[#This Row],[ご請求番号]],"-",""))</f>
        <v/>
      </c>
      <c r="F324" s="58" t="str">
        <f>keiyakuid311&amp;""</f>
        <v/>
      </c>
      <c r="I324" t="str">
        <f>IF(accelikkatsu311="","希望しない",accelikkatsu311)</f>
        <v>希望しない</v>
      </c>
      <c r="J324" t="str">
        <f>IF(belugabunyn311="","なし",belugabunyn311)</f>
        <v>なし</v>
      </c>
      <c r="K324" s="59" t="str">
        <f>belugabun311&amp;""</f>
        <v/>
      </c>
      <c r="L324" t="b">
        <f>shutoku311</f>
        <v>0</v>
      </c>
    </row>
    <row r="325" spans="1:12">
      <c r="A325">
        <v>312</v>
      </c>
      <c r="C325" t="str">
        <f>shubetsu312&amp;""</f>
        <v/>
      </c>
      <c r="D325" s="58" t="str">
        <f>billid312&amp;""</f>
        <v/>
      </c>
      <c r="E325" s="58" t="str">
        <f>UPPER(SUBSTITUTE(番明[[#This Row],[ご請求番号]],"-",""))</f>
        <v/>
      </c>
      <c r="F325" s="58" t="str">
        <f>keiyakuid312&amp;""</f>
        <v/>
      </c>
      <c r="I325" t="str">
        <f>IF(accelikkatsu312="","希望しない",accelikkatsu312)</f>
        <v>希望しない</v>
      </c>
      <c r="J325" t="str">
        <f>IF(belugabunyn312="","なし",belugabunyn312)</f>
        <v>なし</v>
      </c>
      <c r="K325" s="59" t="str">
        <f>belugabun312&amp;""</f>
        <v/>
      </c>
      <c r="L325" t="b">
        <f>shutoku312</f>
        <v>0</v>
      </c>
    </row>
    <row r="326" spans="1:12">
      <c r="A326">
        <v>313</v>
      </c>
      <c r="C326" t="str">
        <f>shubetsu313&amp;""</f>
        <v/>
      </c>
      <c r="D326" s="58" t="str">
        <f>billid313&amp;""</f>
        <v/>
      </c>
      <c r="E326" s="58" t="str">
        <f>UPPER(SUBSTITUTE(番明[[#This Row],[ご請求番号]],"-",""))</f>
        <v/>
      </c>
      <c r="F326" s="58" t="str">
        <f>keiyakuid313&amp;""</f>
        <v/>
      </c>
      <c r="I326" t="str">
        <f>IF(accelikkatsu313="","希望しない",accelikkatsu313)</f>
        <v>希望しない</v>
      </c>
      <c r="J326" t="str">
        <f>IF(belugabunyn313="","なし",belugabunyn313)</f>
        <v>なし</v>
      </c>
      <c r="K326" s="59" t="str">
        <f>belugabun313&amp;""</f>
        <v/>
      </c>
      <c r="L326" t="b">
        <f>shutoku313</f>
        <v>0</v>
      </c>
    </row>
    <row r="327" spans="1:12">
      <c r="A327">
        <v>314</v>
      </c>
      <c r="C327" t="str">
        <f>shubetsu314&amp;""</f>
        <v/>
      </c>
      <c r="D327" s="58" t="str">
        <f>billid314&amp;""</f>
        <v/>
      </c>
      <c r="E327" s="58" t="str">
        <f>UPPER(SUBSTITUTE(番明[[#This Row],[ご請求番号]],"-",""))</f>
        <v/>
      </c>
      <c r="F327" s="58" t="str">
        <f>keiyakuid314&amp;""</f>
        <v/>
      </c>
      <c r="I327" t="str">
        <f>IF(accelikkatsu314="","希望しない",accelikkatsu314)</f>
        <v>希望しない</v>
      </c>
      <c r="J327" t="str">
        <f>IF(belugabunyn314="","なし",belugabunyn314)</f>
        <v>なし</v>
      </c>
      <c r="K327" s="59" t="str">
        <f>belugabun314&amp;""</f>
        <v/>
      </c>
      <c r="L327" t="b">
        <f>shutoku314</f>
        <v>0</v>
      </c>
    </row>
    <row r="328" spans="1:12">
      <c r="A328">
        <v>315</v>
      </c>
      <c r="C328" t="str">
        <f>shubetsu315&amp;""</f>
        <v/>
      </c>
      <c r="D328" s="58" t="str">
        <f>billid315&amp;""</f>
        <v/>
      </c>
      <c r="E328" s="58" t="str">
        <f>UPPER(SUBSTITUTE(番明[[#This Row],[ご請求番号]],"-",""))</f>
        <v/>
      </c>
      <c r="F328" s="58" t="str">
        <f>keiyakuid315&amp;""</f>
        <v/>
      </c>
      <c r="I328" t="str">
        <f>IF(accelikkatsu315="","希望しない",accelikkatsu315)</f>
        <v>希望しない</v>
      </c>
      <c r="J328" t="str">
        <f>IF(belugabunyn315="","なし",belugabunyn315)</f>
        <v>なし</v>
      </c>
      <c r="K328" s="59" t="str">
        <f>belugabun315&amp;""</f>
        <v/>
      </c>
      <c r="L328" t="b">
        <f>shutoku315</f>
        <v>0</v>
      </c>
    </row>
    <row r="329" spans="1:12">
      <c r="A329">
        <v>316</v>
      </c>
      <c r="C329" t="str">
        <f>shubetsu316&amp;""</f>
        <v/>
      </c>
      <c r="D329" s="58" t="str">
        <f>billid316&amp;""</f>
        <v/>
      </c>
      <c r="E329" s="58" t="str">
        <f>UPPER(SUBSTITUTE(番明[[#This Row],[ご請求番号]],"-",""))</f>
        <v/>
      </c>
      <c r="F329" s="58" t="str">
        <f>keiyakuid316&amp;""</f>
        <v/>
      </c>
      <c r="I329" t="str">
        <f>IF(accelikkatsu316="","希望しない",accelikkatsu316)</f>
        <v>希望しない</v>
      </c>
      <c r="J329" t="str">
        <f>IF(belugabunyn316="","なし",belugabunyn316)</f>
        <v>なし</v>
      </c>
      <c r="K329" s="59" t="str">
        <f>belugabun316&amp;""</f>
        <v/>
      </c>
      <c r="L329" t="b">
        <f>shutoku316</f>
        <v>0</v>
      </c>
    </row>
    <row r="330" spans="1:12">
      <c r="A330">
        <v>317</v>
      </c>
      <c r="C330" t="str">
        <f>shubetsu317&amp;""</f>
        <v/>
      </c>
      <c r="D330" s="58" t="str">
        <f>billid317&amp;""</f>
        <v/>
      </c>
      <c r="E330" s="58" t="str">
        <f>UPPER(SUBSTITUTE(番明[[#This Row],[ご請求番号]],"-",""))</f>
        <v/>
      </c>
      <c r="F330" s="58" t="str">
        <f>keiyakuid317&amp;""</f>
        <v/>
      </c>
      <c r="I330" t="str">
        <f>IF(accelikkatsu317="","希望しない",accelikkatsu317)</f>
        <v>希望しない</v>
      </c>
      <c r="J330" t="str">
        <f>IF(belugabunyn317="","なし",belugabunyn317)</f>
        <v>なし</v>
      </c>
      <c r="K330" s="59" t="str">
        <f>belugabun317&amp;""</f>
        <v/>
      </c>
      <c r="L330" t="b">
        <f>shutoku317</f>
        <v>0</v>
      </c>
    </row>
    <row r="331" spans="1:12">
      <c r="A331">
        <v>318</v>
      </c>
      <c r="C331" t="str">
        <f>shubetsu318&amp;""</f>
        <v/>
      </c>
      <c r="D331" s="58" t="str">
        <f>billid318&amp;""</f>
        <v/>
      </c>
      <c r="E331" s="58" t="str">
        <f>UPPER(SUBSTITUTE(番明[[#This Row],[ご請求番号]],"-",""))</f>
        <v/>
      </c>
      <c r="F331" s="58" t="str">
        <f>keiyakuid318&amp;""</f>
        <v/>
      </c>
      <c r="I331" t="str">
        <f>IF(accelikkatsu318="","希望しない",accelikkatsu318)</f>
        <v>希望しない</v>
      </c>
      <c r="J331" t="str">
        <f>IF(belugabunyn318="","なし",belugabunyn318)</f>
        <v>なし</v>
      </c>
      <c r="K331" s="59" t="str">
        <f>belugabun318&amp;""</f>
        <v/>
      </c>
      <c r="L331" t="b">
        <f>shutoku318</f>
        <v>0</v>
      </c>
    </row>
    <row r="332" spans="1:12">
      <c r="A332">
        <v>319</v>
      </c>
      <c r="C332" t="str">
        <f>shubetsu319&amp;""</f>
        <v/>
      </c>
      <c r="D332" s="58" t="str">
        <f>billid319&amp;""</f>
        <v/>
      </c>
      <c r="E332" s="58" t="str">
        <f>UPPER(SUBSTITUTE(番明[[#This Row],[ご請求番号]],"-",""))</f>
        <v/>
      </c>
      <c r="F332" s="58" t="str">
        <f>keiyakuid319&amp;""</f>
        <v/>
      </c>
      <c r="I332" t="str">
        <f>IF(accelikkatsu319="","希望しない",accelikkatsu319)</f>
        <v>希望しない</v>
      </c>
      <c r="J332" t="str">
        <f>IF(belugabunyn319="","なし",belugabunyn319)</f>
        <v>なし</v>
      </c>
      <c r="K332" s="59" t="str">
        <f>belugabun319&amp;""</f>
        <v/>
      </c>
      <c r="L332" t="b">
        <f>shutoku319</f>
        <v>0</v>
      </c>
    </row>
    <row r="333" spans="1:12">
      <c r="A333">
        <v>320</v>
      </c>
      <c r="C333" t="str">
        <f>shubetsu320&amp;""</f>
        <v/>
      </c>
      <c r="D333" s="58" t="str">
        <f>billid320&amp;""</f>
        <v/>
      </c>
      <c r="E333" s="58" t="str">
        <f>UPPER(SUBSTITUTE(番明[[#This Row],[ご請求番号]],"-",""))</f>
        <v/>
      </c>
      <c r="F333" s="58" t="str">
        <f>keiyakuid320&amp;""</f>
        <v/>
      </c>
      <c r="I333" t="str">
        <f>IF(accelikkatsu320="","希望しない",accelikkatsu320)</f>
        <v>希望しない</v>
      </c>
      <c r="J333" t="str">
        <f>IF(belugabunyn320="","なし",belugabunyn320)</f>
        <v>なし</v>
      </c>
      <c r="K333" s="59" t="str">
        <f>belugabun320&amp;""</f>
        <v/>
      </c>
      <c r="L333" t="b">
        <f>shutoku320</f>
        <v>0</v>
      </c>
    </row>
    <row r="334" spans="1:12">
      <c r="A334">
        <v>321</v>
      </c>
      <c r="C334" t="str">
        <f>shubetsu321&amp;""</f>
        <v/>
      </c>
      <c r="D334" s="58" t="str">
        <f>billid321&amp;""</f>
        <v/>
      </c>
      <c r="E334" s="58" t="str">
        <f>UPPER(SUBSTITUTE(番明[[#This Row],[ご請求番号]],"-",""))</f>
        <v/>
      </c>
      <c r="F334" s="58" t="str">
        <f>keiyakuid321&amp;""</f>
        <v/>
      </c>
      <c r="I334" t="str">
        <f>IF(accelikkatsu321="","希望しない",accelikkatsu321)</f>
        <v>希望しない</v>
      </c>
      <c r="J334" t="str">
        <f>IF(belugabunyn321="","なし",belugabunyn321)</f>
        <v>なし</v>
      </c>
      <c r="K334" s="59" t="str">
        <f>belugabun321&amp;""</f>
        <v/>
      </c>
      <c r="L334" t="b">
        <f>shutoku321</f>
        <v>0</v>
      </c>
    </row>
    <row r="335" spans="1:12">
      <c r="A335">
        <v>322</v>
      </c>
      <c r="C335" t="str">
        <f>shubetsu322&amp;""</f>
        <v/>
      </c>
      <c r="D335" s="58" t="str">
        <f>billid322&amp;""</f>
        <v/>
      </c>
      <c r="E335" s="58" t="str">
        <f>UPPER(SUBSTITUTE(番明[[#This Row],[ご請求番号]],"-",""))</f>
        <v/>
      </c>
      <c r="F335" s="58" t="str">
        <f>keiyakuid322&amp;""</f>
        <v/>
      </c>
      <c r="I335" t="str">
        <f>IF(accelikkatsu322="","希望しない",accelikkatsu322)</f>
        <v>希望しない</v>
      </c>
      <c r="J335" t="str">
        <f>IF(belugabunyn322="","なし",belugabunyn322)</f>
        <v>なし</v>
      </c>
      <c r="K335" s="59" t="str">
        <f>belugabun322&amp;""</f>
        <v/>
      </c>
      <c r="L335" t="b">
        <f>shutoku322</f>
        <v>0</v>
      </c>
    </row>
    <row r="336" spans="1:12">
      <c r="A336">
        <v>323</v>
      </c>
      <c r="C336" t="str">
        <f>shubetsu323&amp;""</f>
        <v/>
      </c>
      <c r="D336" s="58" t="str">
        <f>billid323&amp;""</f>
        <v/>
      </c>
      <c r="E336" s="58" t="str">
        <f>UPPER(SUBSTITUTE(番明[[#This Row],[ご請求番号]],"-",""))</f>
        <v/>
      </c>
      <c r="F336" s="58" t="str">
        <f>keiyakuid323&amp;""</f>
        <v/>
      </c>
      <c r="I336" t="str">
        <f>IF(accelikkatsu323="","希望しない",accelikkatsu323)</f>
        <v>希望しない</v>
      </c>
      <c r="J336" t="str">
        <f>IF(belugabunyn323="","なし",belugabunyn323)</f>
        <v>なし</v>
      </c>
      <c r="K336" s="59" t="str">
        <f>belugabun323&amp;""</f>
        <v/>
      </c>
      <c r="L336" t="b">
        <f>shutoku323</f>
        <v>0</v>
      </c>
    </row>
    <row r="337" spans="1:12">
      <c r="A337">
        <v>324</v>
      </c>
      <c r="C337" t="str">
        <f>shubetsu324&amp;""</f>
        <v/>
      </c>
      <c r="D337" s="58" t="str">
        <f>billid324&amp;""</f>
        <v/>
      </c>
      <c r="E337" s="58" t="str">
        <f>UPPER(SUBSTITUTE(番明[[#This Row],[ご請求番号]],"-",""))</f>
        <v/>
      </c>
      <c r="F337" s="58" t="str">
        <f>keiyakuid324&amp;""</f>
        <v/>
      </c>
      <c r="I337" t="str">
        <f>IF(accelikkatsu324="","希望しない",accelikkatsu324)</f>
        <v>希望しない</v>
      </c>
      <c r="J337" t="str">
        <f>IF(belugabunyn324="","なし",belugabunyn324)</f>
        <v>なし</v>
      </c>
      <c r="K337" s="59" t="str">
        <f>belugabun324&amp;""</f>
        <v/>
      </c>
      <c r="L337" t="b">
        <f>shutoku324</f>
        <v>0</v>
      </c>
    </row>
    <row r="338" spans="1:12">
      <c r="A338">
        <v>325</v>
      </c>
      <c r="C338" t="str">
        <f>shubetsu325&amp;""</f>
        <v/>
      </c>
      <c r="D338" s="58" t="str">
        <f>billid325&amp;""</f>
        <v/>
      </c>
      <c r="E338" s="58" t="str">
        <f>UPPER(SUBSTITUTE(番明[[#This Row],[ご請求番号]],"-",""))</f>
        <v/>
      </c>
      <c r="F338" s="58" t="str">
        <f>keiyakuid325&amp;""</f>
        <v/>
      </c>
      <c r="I338" t="str">
        <f>IF(accelikkatsu325="","希望しない",accelikkatsu325)</f>
        <v>希望しない</v>
      </c>
      <c r="J338" t="str">
        <f>IF(belugabunyn325="","なし",belugabunyn325)</f>
        <v>なし</v>
      </c>
      <c r="K338" s="59" t="str">
        <f>belugabun325&amp;""</f>
        <v/>
      </c>
      <c r="L338" t="b">
        <f>shutoku325</f>
        <v>0</v>
      </c>
    </row>
    <row r="339" spans="1:12">
      <c r="A339">
        <v>326</v>
      </c>
      <c r="C339" t="str">
        <f>shubetsu326&amp;""</f>
        <v/>
      </c>
      <c r="D339" s="58" t="str">
        <f>billid326&amp;""</f>
        <v/>
      </c>
      <c r="E339" s="58" t="str">
        <f>UPPER(SUBSTITUTE(番明[[#This Row],[ご請求番号]],"-",""))</f>
        <v/>
      </c>
      <c r="F339" s="58" t="str">
        <f>keiyakuid326&amp;""</f>
        <v/>
      </c>
      <c r="I339" t="str">
        <f>IF(accelikkatsu326="","希望しない",accelikkatsu326)</f>
        <v>希望しない</v>
      </c>
      <c r="J339" t="str">
        <f>IF(belugabunyn326="","なし",belugabunyn326)</f>
        <v>なし</v>
      </c>
      <c r="K339" s="59" t="str">
        <f>belugabun326&amp;""</f>
        <v/>
      </c>
      <c r="L339" t="b">
        <f>shutoku326</f>
        <v>0</v>
      </c>
    </row>
    <row r="340" spans="1:12">
      <c r="A340">
        <v>327</v>
      </c>
      <c r="C340" t="str">
        <f>shubetsu327&amp;""</f>
        <v/>
      </c>
      <c r="D340" s="58" t="str">
        <f>billid327&amp;""</f>
        <v/>
      </c>
      <c r="E340" s="58" t="str">
        <f>UPPER(SUBSTITUTE(番明[[#This Row],[ご請求番号]],"-",""))</f>
        <v/>
      </c>
      <c r="F340" s="58" t="str">
        <f>keiyakuid327&amp;""</f>
        <v/>
      </c>
      <c r="I340" t="str">
        <f>IF(accelikkatsu327="","希望しない",accelikkatsu327)</f>
        <v>希望しない</v>
      </c>
      <c r="J340" t="str">
        <f>IF(belugabunyn327="","なし",belugabunyn327)</f>
        <v>なし</v>
      </c>
      <c r="K340" s="59" t="str">
        <f>belugabun327&amp;""</f>
        <v/>
      </c>
      <c r="L340" t="b">
        <f>shutoku327</f>
        <v>0</v>
      </c>
    </row>
    <row r="341" spans="1:12">
      <c r="A341">
        <v>328</v>
      </c>
      <c r="C341" t="str">
        <f>shubetsu328&amp;""</f>
        <v/>
      </c>
      <c r="D341" s="58" t="str">
        <f>billid328&amp;""</f>
        <v/>
      </c>
      <c r="E341" s="58" t="str">
        <f>UPPER(SUBSTITUTE(番明[[#This Row],[ご請求番号]],"-",""))</f>
        <v/>
      </c>
      <c r="F341" s="58" t="str">
        <f>keiyakuid328&amp;""</f>
        <v/>
      </c>
      <c r="I341" t="str">
        <f>IF(accelikkatsu328="","希望しない",accelikkatsu328)</f>
        <v>希望しない</v>
      </c>
      <c r="J341" t="str">
        <f>IF(belugabunyn328="","なし",belugabunyn328)</f>
        <v>なし</v>
      </c>
      <c r="K341" s="59" t="str">
        <f>belugabun328&amp;""</f>
        <v/>
      </c>
      <c r="L341" t="b">
        <f>shutoku328</f>
        <v>0</v>
      </c>
    </row>
    <row r="342" spans="1:12">
      <c r="A342">
        <v>329</v>
      </c>
      <c r="C342" t="str">
        <f>shubetsu329&amp;""</f>
        <v/>
      </c>
      <c r="D342" s="58" t="str">
        <f>billid329&amp;""</f>
        <v/>
      </c>
      <c r="E342" s="58" t="str">
        <f>UPPER(SUBSTITUTE(番明[[#This Row],[ご請求番号]],"-",""))</f>
        <v/>
      </c>
      <c r="F342" s="58" t="str">
        <f>keiyakuid329&amp;""</f>
        <v/>
      </c>
      <c r="I342" t="str">
        <f>IF(accelikkatsu329="","希望しない",accelikkatsu329)</f>
        <v>希望しない</v>
      </c>
      <c r="J342" t="str">
        <f>IF(belugabunyn329="","なし",belugabunyn329)</f>
        <v>なし</v>
      </c>
      <c r="K342" s="59" t="str">
        <f>belugabun329&amp;""</f>
        <v/>
      </c>
      <c r="L342" t="b">
        <f>shutoku329</f>
        <v>0</v>
      </c>
    </row>
    <row r="343" spans="1:12">
      <c r="A343">
        <v>330</v>
      </c>
      <c r="C343" t="str">
        <f>shubetsu330&amp;""</f>
        <v/>
      </c>
      <c r="D343" s="58" t="str">
        <f>billid330&amp;""</f>
        <v/>
      </c>
      <c r="E343" s="58" t="str">
        <f>UPPER(SUBSTITUTE(番明[[#This Row],[ご請求番号]],"-",""))</f>
        <v/>
      </c>
      <c r="F343" s="58" t="str">
        <f>keiyakuid330&amp;""</f>
        <v/>
      </c>
      <c r="I343" t="str">
        <f>IF(accelikkatsu330="","希望しない",accelikkatsu330)</f>
        <v>希望しない</v>
      </c>
      <c r="J343" t="str">
        <f>IF(belugabunyn330="","なし",belugabunyn330)</f>
        <v>なし</v>
      </c>
      <c r="K343" s="59" t="str">
        <f>belugabun330&amp;""</f>
        <v/>
      </c>
      <c r="L343" t="b">
        <f>shutoku330</f>
        <v>0</v>
      </c>
    </row>
    <row r="344" spans="1:12">
      <c r="A344">
        <v>331</v>
      </c>
      <c r="C344" t="str">
        <f>shubetsu331&amp;""</f>
        <v/>
      </c>
      <c r="D344" s="58" t="str">
        <f>billid331&amp;""</f>
        <v/>
      </c>
      <c r="E344" s="58" t="str">
        <f>UPPER(SUBSTITUTE(番明[[#This Row],[ご請求番号]],"-",""))</f>
        <v/>
      </c>
      <c r="F344" s="58" t="str">
        <f>keiyakuid331&amp;""</f>
        <v/>
      </c>
      <c r="I344" t="str">
        <f>IF(accelikkatsu331="","希望しない",accelikkatsu331)</f>
        <v>希望しない</v>
      </c>
      <c r="J344" t="str">
        <f>IF(belugabunyn331="","なし",belugabunyn331)</f>
        <v>なし</v>
      </c>
      <c r="K344" s="59" t="str">
        <f>belugabun331&amp;""</f>
        <v/>
      </c>
      <c r="L344" t="b">
        <f>shutoku331</f>
        <v>0</v>
      </c>
    </row>
    <row r="345" spans="1:12">
      <c r="A345">
        <v>332</v>
      </c>
      <c r="C345" t="str">
        <f>shubetsu332&amp;""</f>
        <v/>
      </c>
      <c r="D345" s="58" t="str">
        <f>billid332&amp;""</f>
        <v/>
      </c>
      <c r="E345" s="58" t="str">
        <f>UPPER(SUBSTITUTE(番明[[#This Row],[ご請求番号]],"-",""))</f>
        <v/>
      </c>
      <c r="F345" s="58" t="str">
        <f>keiyakuid332&amp;""</f>
        <v/>
      </c>
      <c r="I345" t="str">
        <f>IF(accelikkatsu332="","希望しない",accelikkatsu332)</f>
        <v>希望しない</v>
      </c>
      <c r="J345" t="str">
        <f>IF(belugabunyn332="","なし",belugabunyn332)</f>
        <v>なし</v>
      </c>
      <c r="K345" s="59" t="str">
        <f>belugabun332&amp;""</f>
        <v/>
      </c>
      <c r="L345" t="b">
        <f>shutoku332</f>
        <v>0</v>
      </c>
    </row>
    <row r="346" spans="1:12">
      <c r="A346">
        <v>333</v>
      </c>
      <c r="C346" t="str">
        <f>shubetsu333&amp;""</f>
        <v/>
      </c>
      <c r="D346" s="58" t="str">
        <f>billid333&amp;""</f>
        <v/>
      </c>
      <c r="E346" s="58" t="str">
        <f>UPPER(SUBSTITUTE(番明[[#This Row],[ご請求番号]],"-",""))</f>
        <v/>
      </c>
      <c r="F346" s="58" t="str">
        <f>keiyakuid333&amp;""</f>
        <v/>
      </c>
      <c r="I346" t="str">
        <f>IF(accelikkatsu333="","希望しない",accelikkatsu333)</f>
        <v>希望しない</v>
      </c>
      <c r="J346" t="str">
        <f>IF(belugabunyn333="","なし",belugabunyn333)</f>
        <v>なし</v>
      </c>
      <c r="K346" s="59" t="str">
        <f>belugabun333&amp;""</f>
        <v/>
      </c>
      <c r="L346" t="b">
        <f>shutoku333</f>
        <v>0</v>
      </c>
    </row>
    <row r="347" spans="1:12">
      <c r="A347">
        <v>334</v>
      </c>
      <c r="C347" t="str">
        <f>shubetsu334&amp;""</f>
        <v/>
      </c>
      <c r="D347" s="58" t="str">
        <f>billid334&amp;""</f>
        <v/>
      </c>
      <c r="E347" s="58" t="str">
        <f>UPPER(SUBSTITUTE(番明[[#This Row],[ご請求番号]],"-",""))</f>
        <v/>
      </c>
      <c r="F347" s="58" t="str">
        <f>keiyakuid334&amp;""</f>
        <v/>
      </c>
      <c r="I347" t="str">
        <f>IF(accelikkatsu334="","希望しない",accelikkatsu334)</f>
        <v>希望しない</v>
      </c>
      <c r="J347" t="str">
        <f>IF(belugabunyn334="","なし",belugabunyn334)</f>
        <v>なし</v>
      </c>
      <c r="K347" s="59" t="str">
        <f>belugabun334&amp;""</f>
        <v/>
      </c>
      <c r="L347" t="b">
        <f>shutoku334</f>
        <v>0</v>
      </c>
    </row>
    <row r="348" spans="1:12">
      <c r="A348">
        <v>335</v>
      </c>
      <c r="C348" t="str">
        <f>shubetsu335&amp;""</f>
        <v/>
      </c>
      <c r="D348" s="58" t="str">
        <f>billid335&amp;""</f>
        <v/>
      </c>
      <c r="E348" s="58" t="str">
        <f>UPPER(SUBSTITUTE(番明[[#This Row],[ご請求番号]],"-",""))</f>
        <v/>
      </c>
      <c r="F348" s="58" t="str">
        <f>keiyakuid335&amp;""</f>
        <v/>
      </c>
      <c r="I348" t="str">
        <f>IF(accelikkatsu335="","希望しない",accelikkatsu335)</f>
        <v>希望しない</v>
      </c>
      <c r="J348" t="str">
        <f>IF(belugabunyn335="","なし",belugabunyn335)</f>
        <v>なし</v>
      </c>
      <c r="K348" s="59" t="str">
        <f>belugabun335&amp;""</f>
        <v/>
      </c>
      <c r="L348" t="b">
        <f>shutoku335</f>
        <v>0</v>
      </c>
    </row>
    <row r="349" spans="1:12">
      <c r="A349">
        <v>336</v>
      </c>
      <c r="C349" t="str">
        <f>shubetsu336&amp;""</f>
        <v/>
      </c>
      <c r="D349" s="58" t="str">
        <f>billid336&amp;""</f>
        <v/>
      </c>
      <c r="E349" s="58" t="str">
        <f>UPPER(SUBSTITUTE(番明[[#This Row],[ご請求番号]],"-",""))</f>
        <v/>
      </c>
      <c r="F349" s="58" t="str">
        <f>keiyakuid336&amp;""</f>
        <v/>
      </c>
      <c r="I349" t="str">
        <f>IF(accelikkatsu336="","希望しない",accelikkatsu336)</f>
        <v>希望しない</v>
      </c>
      <c r="J349" t="str">
        <f>IF(belugabunyn336="","なし",belugabunyn336)</f>
        <v>なし</v>
      </c>
      <c r="K349" s="59" t="str">
        <f>belugabun336&amp;""</f>
        <v/>
      </c>
      <c r="L349" t="b">
        <f>shutoku336</f>
        <v>0</v>
      </c>
    </row>
    <row r="350" spans="1:12">
      <c r="A350">
        <v>337</v>
      </c>
      <c r="C350" t="str">
        <f>shubetsu337&amp;""</f>
        <v/>
      </c>
      <c r="D350" s="58" t="str">
        <f>billid337&amp;""</f>
        <v/>
      </c>
      <c r="E350" s="58" t="str">
        <f>UPPER(SUBSTITUTE(番明[[#This Row],[ご請求番号]],"-",""))</f>
        <v/>
      </c>
      <c r="F350" s="58" t="str">
        <f>keiyakuid337&amp;""</f>
        <v/>
      </c>
      <c r="I350" t="str">
        <f>IF(accelikkatsu337="","希望しない",accelikkatsu337)</f>
        <v>希望しない</v>
      </c>
      <c r="J350" t="str">
        <f>IF(belugabunyn337="","なし",belugabunyn337)</f>
        <v>なし</v>
      </c>
      <c r="K350" s="59" t="str">
        <f>belugabun337&amp;""</f>
        <v/>
      </c>
      <c r="L350" t="b">
        <f>shutoku337</f>
        <v>0</v>
      </c>
    </row>
    <row r="351" spans="1:12">
      <c r="A351">
        <v>338</v>
      </c>
      <c r="C351" t="str">
        <f>shubetsu338&amp;""</f>
        <v/>
      </c>
      <c r="D351" s="58" t="str">
        <f>billid338&amp;""</f>
        <v/>
      </c>
      <c r="E351" s="58" t="str">
        <f>UPPER(SUBSTITUTE(番明[[#This Row],[ご請求番号]],"-",""))</f>
        <v/>
      </c>
      <c r="F351" s="58" t="str">
        <f>keiyakuid338&amp;""</f>
        <v/>
      </c>
      <c r="I351" t="str">
        <f>IF(accelikkatsu338="","希望しない",accelikkatsu338)</f>
        <v>希望しない</v>
      </c>
      <c r="J351" t="str">
        <f>IF(belugabunyn338="","なし",belugabunyn338)</f>
        <v>なし</v>
      </c>
      <c r="K351" s="59" t="str">
        <f>belugabun338&amp;""</f>
        <v/>
      </c>
      <c r="L351" t="b">
        <f>shutoku338</f>
        <v>0</v>
      </c>
    </row>
    <row r="352" spans="1:12">
      <c r="A352">
        <v>339</v>
      </c>
      <c r="C352" t="str">
        <f>shubetsu339&amp;""</f>
        <v/>
      </c>
      <c r="D352" s="58" t="str">
        <f>billid339&amp;""</f>
        <v/>
      </c>
      <c r="E352" s="58" t="str">
        <f>UPPER(SUBSTITUTE(番明[[#This Row],[ご請求番号]],"-",""))</f>
        <v/>
      </c>
      <c r="F352" s="58" t="str">
        <f>keiyakuid339&amp;""</f>
        <v/>
      </c>
      <c r="I352" t="str">
        <f>IF(accelikkatsu339="","希望しない",accelikkatsu339)</f>
        <v>希望しない</v>
      </c>
      <c r="J352" t="str">
        <f>IF(belugabunyn339="","なし",belugabunyn339)</f>
        <v>なし</v>
      </c>
      <c r="K352" s="59" t="str">
        <f>belugabun339&amp;""</f>
        <v/>
      </c>
      <c r="L352" t="b">
        <f>shutoku339</f>
        <v>0</v>
      </c>
    </row>
    <row r="353" spans="1:12">
      <c r="A353">
        <v>340</v>
      </c>
      <c r="C353" t="str">
        <f>shubetsu340&amp;""</f>
        <v/>
      </c>
      <c r="D353" s="58" t="str">
        <f>billid340&amp;""</f>
        <v/>
      </c>
      <c r="E353" s="58" t="str">
        <f>UPPER(SUBSTITUTE(番明[[#This Row],[ご請求番号]],"-",""))</f>
        <v/>
      </c>
      <c r="F353" s="58" t="str">
        <f>keiyakuid340&amp;""</f>
        <v/>
      </c>
      <c r="I353" t="str">
        <f>IF(accelikkatsu340="","希望しない",accelikkatsu340)</f>
        <v>希望しない</v>
      </c>
      <c r="J353" t="str">
        <f>IF(belugabunyn340="","なし",belugabunyn340)</f>
        <v>なし</v>
      </c>
      <c r="K353" s="59" t="str">
        <f>belugabun340&amp;""</f>
        <v/>
      </c>
      <c r="L353" t="b">
        <f>shutoku340</f>
        <v>0</v>
      </c>
    </row>
    <row r="354" spans="1:12">
      <c r="A354">
        <v>341</v>
      </c>
      <c r="C354" t="str">
        <f>shubetsu341&amp;""</f>
        <v/>
      </c>
      <c r="D354" s="58" t="str">
        <f>billid341&amp;""</f>
        <v/>
      </c>
      <c r="E354" s="58" t="str">
        <f>UPPER(SUBSTITUTE(番明[[#This Row],[ご請求番号]],"-",""))</f>
        <v/>
      </c>
      <c r="F354" s="58" t="str">
        <f>keiyakuid341&amp;""</f>
        <v/>
      </c>
      <c r="I354" t="str">
        <f>IF(accelikkatsu341="","希望しない",accelikkatsu341)</f>
        <v>希望しない</v>
      </c>
      <c r="J354" t="str">
        <f>IF(belugabunyn341="","なし",belugabunyn341)</f>
        <v>なし</v>
      </c>
      <c r="K354" s="59" t="str">
        <f>belugabun341&amp;""</f>
        <v/>
      </c>
      <c r="L354" t="b">
        <f>shutoku341</f>
        <v>0</v>
      </c>
    </row>
    <row r="355" spans="1:12">
      <c r="A355">
        <v>342</v>
      </c>
      <c r="C355" t="str">
        <f>shubetsu342&amp;""</f>
        <v/>
      </c>
      <c r="D355" s="58" t="str">
        <f>billid342&amp;""</f>
        <v/>
      </c>
      <c r="E355" s="58" t="str">
        <f>UPPER(SUBSTITUTE(番明[[#This Row],[ご請求番号]],"-",""))</f>
        <v/>
      </c>
      <c r="F355" s="58" t="str">
        <f>keiyakuid342&amp;""</f>
        <v/>
      </c>
      <c r="I355" t="str">
        <f>IF(accelikkatsu342="","希望しない",accelikkatsu342)</f>
        <v>希望しない</v>
      </c>
      <c r="J355" t="str">
        <f>IF(belugabunyn342="","なし",belugabunyn342)</f>
        <v>なし</v>
      </c>
      <c r="K355" s="59" t="str">
        <f>belugabun342&amp;""</f>
        <v/>
      </c>
      <c r="L355" t="b">
        <f>shutoku342</f>
        <v>0</v>
      </c>
    </row>
    <row r="356" spans="1:12">
      <c r="A356">
        <v>343</v>
      </c>
      <c r="C356" t="str">
        <f>shubetsu343&amp;""</f>
        <v/>
      </c>
      <c r="D356" s="58" t="str">
        <f>billid343&amp;""</f>
        <v/>
      </c>
      <c r="E356" s="58" t="str">
        <f>UPPER(SUBSTITUTE(番明[[#This Row],[ご請求番号]],"-",""))</f>
        <v/>
      </c>
      <c r="F356" s="58" t="str">
        <f>keiyakuid343&amp;""</f>
        <v/>
      </c>
      <c r="I356" t="str">
        <f>IF(accelikkatsu343="","希望しない",accelikkatsu343)</f>
        <v>希望しない</v>
      </c>
      <c r="J356" t="str">
        <f>IF(belugabunyn343="","なし",belugabunyn343)</f>
        <v>なし</v>
      </c>
      <c r="K356" s="59" t="str">
        <f>belugabun343&amp;""</f>
        <v/>
      </c>
      <c r="L356" t="b">
        <f>shutoku343</f>
        <v>0</v>
      </c>
    </row>
    <row r="357" spans="1:12">
      <c r="A357">
        <v>344</v>
      </c>
      <c r="C357" t="str">
        <f>shubetsu344&amp;""</f>
        <v/>
      </c>
      <c r="D357" s="58" t="str">
        <f>billid344&amp;""</f>
        <v/>
      </c>
      <c r="E357" s="58" t="str">
        <f>UPPER(SUBSTITUTE(番明[[#This Row],[ご請求番号]],"-",""))</f>
        <v/>
      </c>
      <c r="F357" s="58" t="str">
        <f>keiyakuid344&amp;""</f>
        <v/>
      </c>
      <c r="I357" t="str">
        <f>IF(accelikkatsu344="","希望しない",accelikkatsu344)</f>
        <v>希望しない</v>
      </c>
      <c r="J357" t="str">
        <f>IF(belugabunyn344="","なし",belugabunyn344)</f>
        <v>なし</v>
      </c>
      <c r="K357" s="59" t="str">
        <f>belugabun344&amp;""</f>
        <v/>
      </c>
      <c r="L357" t="b">
        <f>shutoku344</f>
        <v>0</v>
      </c>
    </row>
    <row r="358" spans="1:12">
      <c r="A358">
        <v>345</v>
      </c>
      <c r="C358" t="str">
        <f>shubetsu345&amp;""</f>
        <v/>
      </c>
      <c r="D358" s="58" t="str">
        <f>billid345&amp;""</f>
        <v/>
      </c>
      <c r="E358" s="58" t="str">
        <f>UPPER(SUBSTITUTE(番明[[#This Row],[ご請求番号]],"-",""))</f>
        <v/>
      </c>
      <c r="F358" s="58" t="str">
        <f>keiyakuid345&amp;""</f>
        <v/>
      </c>
      <c r="I358" t="str">
        <f>IF(accelikkatsu345="","希望しない",accelikkatsu345)</f>
        <v>希望しない</v>
      </c>
      <c r="J358" t="str">
        <f>IF(belugabunyn345="","なし",belugabunyn345)</f>
        <v>なし</v>
      </c>
      <c r="K358" s="59" t="str">
        <f>belugabun345&amp;""</f>
        <v/>
      </c>
      <c r="L358" t="b">
        <f>shutoku345</f>
        <v>0</v>
      </c>
    </row>
    <row r="359" spans="1:12">
      <c r="A359">
        <v>346</v>
      </c>
      <c r="C359" t="str">
        <f>shubetsu346&amp;""</f>
        <v/>
      </c>
      <c r="D359" s="58" t="str">
        <f>billid346&amp;""</f>
        <v/>
      </c>
      <c r="E359" s="58" t="str">
        <f>UPPER(SUBSTITUTE(番明[[#This Row],[ご請求番号]],"-",""))</f>
        <v/>
      </c>
      <c r="F359" s="58" t="str">
        <f>keiyakuid346&amp;""</f>
        <v/>
      </c>
      <c r="I359" t="str">
        <f>IF(accelikkatsu346="","希望しない",accelikkatsu346)</f>
        <v>希望しない</v>
      </c>
      <c r="J359" t="str">
        <f>IF(belugabunyn346="","なし",belugabunyn346)</f>
        <v>なし</v>
      </c>
      <c r="K359" s="59" t="str">
        <f>belugabun346&amp;""</f>
        <v/>
      </c>
      <c r="L359" t="b">
        <f>shutoku346</f>
        <v>0</v>
      </c>
    </row>
    <row r="360" spans="1:12">
      <c r="A360">
        <v>347</v>
      </c>
      <c r="C360" t="str">
        <f>shubetsu347&amp;""</f>
        <v/>
      </c>
      <c r="D360" s="58" t="str">
        <f>billid347&amp;""</f>
        <v/>
      </c>
      <c r="E360" s="58" t="str">
        <f>UPPER(SUBSTITUTE(番明[[#This Row],[ご請求番号]],"-",""))</f>
        <v/>
      </c>
      <c r="F360" s="58" t="str">
        <f>keiyakuid347&amp;""</f>
        <v/>
      </c>
      <c r="I360" t="str">
        <f>IF(accelikkatsu347="","希望しない",accelikkatsu347)</f>
        <v>希望しない</v>
      </c>
      <c r="J360" t="str">
        <f>IF(belugabunyn347="","なし",belugabunyn347)</f>
        <v>なし</v>
      </c>
      <c r="K360" s="59" t="str">
        <f>belugabun347&amp;""</f>
        <v/>
      </c>
      <c r="L360" t="b">
        <f>shutoku347</f>
        <v>0</v>
      </c>
    </row>
    <row r="361" spans="1:12">
      <c r="A361">
        <v>348</v>
      </c>
      <c r="C361" t="str">
        <f>shubetsu348&amp;""</f>
        <v/>
      </c>
      <c r="D361" s="58" t="str">
        <f>billid348&amp;""</f>
        <v/>
      </c>
      <c r="E361" s="58" t="str">
        <f>UPPER(SUBSTITUTE(番明[[#This Row],[ご請求番号]],"-",""))</f>
        <v/>
      </c>
      <c r="F361" s="58" t="str">
        <f>keiyakuid348&amp;""</f>
        <v/>
      </c>
      <c r="I361" t="str">
        <f>IF(accelikkatsu348="","希望しない",accelikkatsu348)</f>
        <v>希望しない</v>
      </c>
      <c r="J361" t="str">
        <f>IF(belugabunyn348="","なし",belugabunyn348)</f>
        <v>なし</v>
      </c>
      <c r="K361" s="59" t="str">
        <f>belugabun348&amp;""</f>
        <v/>
      </c>
      <c r="L361" t="b">
        <f>shutoku348</f>
        <v>0</v>
      </c>
    </row>
    <row r="362" spans="1:12">
      <c r="A362">
        <v>349</v>
      </c>
      <c r="C362" t="str">
        <f>shubetsu349&amp;""</f>
        <v/>
      </c>
      <c r="D362" s="58" t="str">
        <f>billid349&amp;""</f>
        <v/>
      </c>
      <c r="E362" s="58" t="str">
        <f>UPPER(SUBSTITUTE(番明[[#This Row],[ご請求番号]],"-",""))</f>
        <v/>
      </c>
      <c r="F362" s="58" t="str">
        <f>keiyakuid349&amp;""</f>
        <v/>
      </c>
      <c r="I362" t="str">
        <f>IF(accelikkatsu349="","希望しない",accelikkatsu349)</f>
        <v>希望しない</v>
      </c>
      <c r="J362" t="str">
        <f>IF(belugabunyn349="","なし",belugabunyn349)</f>
        <v>なし</v>
      </c>
      <c r="K362" s="59" t="str">
        <f>belugabun349&amp;""</f>
        <v/>
      </c>
      <c r="L362" t="b">
        <f>shutoku349</f>
        <v>0</v>
      </c>
    </row>
    <row r="363" spans="1:12">
      <c r="A363">
        <v>350</v>
      </c>
      <c r="C363" t="str">
        <f>shubetsu350&amp;""</f>
        <v/>
      </c>
      <c r="D363" s="58" t="str">
        <f>billid350&amp;""</f>
        <v/>
      </c>
      <c r="E363" s="58" t="str">
        <f>UPPER(SUBSTITUTE(番明[[#This Row],[ご請求番号]],"-",""))</f>
        <v/>
      </c>
      <c r="F363" s="58" t="str">
        <f>keiyakuid350&amp;""</f>
        <v/>
      </c>
      <c r="I363" t="str">
        <f>IF(accelikkatsu350="","希望しない",accelikkatsu350)</f>
        <v>希望しない</v>
      </c>
      <c r="J363" t="str">
        <f>IF(belugabunyn350="","なし",belugabunyn350)</f>
        <v>なし</v>
      </c>
      <c r="K363" s="59" t="str">
        <f>belugabun350&amp;""</f>
        <v/>
      </c>
      <c r="L363" t="b">
        <f>shutoku350</f>
        <v>0</v>
      </c>
    </row>
    <row r="364" spans="1:12">
      <c r="A364">
        <v>351</v>
      </c>
      <c r="C364" t="str">
        <f>shubetsu351&amp;""</f>
        <v/>
      </c>
      <c r="D364" s="58" t="str">
        <f>billid351&amp;""</f>
        <v/>
      </c>
      <c r="E364" s="58" t="str">
        <f>UPPER(SUBSTITUTE(番明[[#This Row],[ご請求番号]],"-",""))</f>
        <v/>
      </c>
      <c r="F364" s="58" t="str">
        <f>keiyakuid351&amp;""</f>
        <v/>
      </c>
      <c r="I364" t="str">
        <f>IF(accelikkatsu351="","希望しない",accelikkatsu351)</f>
        <v>希望しない</v>
      </c>
      <c r="J364" t="str">
        <f>IF(belugabunyn351="","なし",belugabunyn351)</f>
        <v>なし</v>
      </c>
      <c r="K364" s="59" t="str">
        <f>belugabun351&amp;""</f>
        <v/>
      </c>
      <c r="L364" t="b">
        <f>shutoku351</f>
        <v>0</v>
      </c>
    </row>
    <row r="365" spans="1:12">
      <c r="A365">
        <v>352</v>
      </c>
      <c r="C365" t="str">
        <f>shubetsu352&amp;""</f>
        <v/>
      </c>
      <c r="D365" s="58" t="str">
        <f>billid352&amp;""</f>
        <v/>
      </c>
      <c r="E365" s="58" t="str">
        <f>UPPER(SUBSTITUTE(番明[[#This Row],[ご請求番号]],"-",""))</f>
        <v/>
      </c>
      <c r="F365" s="58" t="str">
        <f>keiyakuid352&amp;""</f>
        <v/>
      </c>
      <c r="I365" t="str">
        <f>IF(accelikkatsu352="","希望しない",accelikkatsu352)</f>
        <v>希望しない</v>
      </c>
      <c r="J365" t="str">
        <f>IF(belugabunyn352="","なし",belugabunyn352)</f>
        <v>なし</v>
      </c>
      <c r="K365" s="59" t="str">
        <f>belugabun352&amp;""</f>
        <v/>
      </c>
      <c r="L365" t="b">
        <f>shutoku352</f>
        <v>0</v>
      </c>
    </row>
    <row r="366" spans="1:12">
      <c r="A366">
        <v>353</v>
      </c>
      <c r="C366" t="str">
        <f>shubetsu353&amp;""</f>
        <v/>
      </c>
      <c r="D366" s="58" t="str">
        <f>billid353&amp;""</f>
        <v/>
      </c>
      <c r="E366" s="58" t="str">
        <f>UPPER(SUBSTITUTE(番明[[#This Row],[ご請求番号]],"-",""))</f>
        <v/>
      </c>
      <c r="F366" s="58" t="str">
        <f>keiyakuid353&amp;""</f>
        <v/>
      </c>
      <c r="I366" t="str">
        <f>IF(accelikkatsu353="","希望しない",accelikkatsu353)</f>
        <v>希望しない</v>
      </c>
      <c r="J366" t="str">
        <f>IF(belugabunyn353="","なし",belugabunyn353)</f>
        <v>なし</v>
      </c>
      <c r="K366" s="59" t="str">
        <f>belugabun353&amp;""</f>
        <v/>
      </c>
      <c r="L366" t="b">
        <f>shutoku353</f>
        <v>0</v>
      </c>
    </row>
    <row r="367" spans="1:12">
      <c r="A367">
        <v>354</v>
      </c>
      <c r="C367" t="str">
        <f>shubetsu354&amp;""</f>
        <v/>
      </c>
      <c r="D367" s="58" t="str">
        <f>billid354&amp;""</f>
        <v/>
      </c>
      <c r="E367" s="58" t="str">
        <f>UPPER(SUBSTITUTE(番明[[#This Row],[ご請求番号]],"-",""))</f>
        <v/>
      </c>
      <c r="F367" s="58" t="str">
        <f>keiyakuid354&amp;""</f>
        <v/>
      </c>
      <c r="I367" t="str">
        <f>IF(accelikkatsu354="","希望しない",accelikkatsu354)</f>
        <v>希望しない</v>
      </c>
      <c r="J367" t="str">
        <f>IF(belugabunyn354="","なし",belugabunyn354)</f>
        <v>なし</v>
      </c>
      <c r="K367" s="59" t="str">
        <f>belugabun354&amp;""</f>
        <v/>
      </c>
      <c r="L367" t="b">
        <f>shutoku354</f>
        <v>0</v>
      </c>
    </row>
    <row r="368" spans="1:12">
      <c r="A368">
        <v>355</v>
      </c>
      <c r="C368" t="str">
        <f>shubetsu355&amp;""</f>
        <v/>
      </c>
      <c r="D368" s="58" t="str">
        <f>billid355&amp;""</f>
        <v/>
      </c>
      <c r="E368" s="58" t="str">
        <f>UPPER(SUBSTITUTE(番明[[#This Row],[ご請求番号]],"-",""))</f>
        <v/>
      </c>
      <c r="F368" s="58" t="str">
        <f>keiyakuid355&amp;""</f>
        <v/>
      </c>
      <c r="I368" t="str">
        <f>IF(accelikkatsu355="","希望しない",accelikkatsu355)</f>
        <v>希望しない</v>
      </c>
      <c r="J368" t="str">
        <f>IF(belugabunyn355="","なし",belugabunyn355)</f>
        <v>なし</v>
      </c>
      <c r="K368" s="59" t="str">
        <f>belugabun355&amp;""</f>
        <v/>
      </c>
      <c r="L368" t="b">
        <f>shutoku355</f>
        <v>0</v>
      </c>
    </row>
    <row r="369" spans="1:12">
      <c r="A369">
        <v>356</v>
      </c>
      <c r="C369" t="str">
        <f>shubetsu356&amp;""</f>
        <v/>
      </c>
      <c r="D369" s="58" t="str">
        <f>billid356&amp;""</f>
        <v/>
      </c>
      <c r="E369" s="58" t="str">
        <f>UPPER(SUBSTITUTE(番明[[#This Row],[ご請求番号]],"-",""))</f>
        <v/>
      </c>
      <c r="F369" s="58" t="str">
        <f>keiyakuid356&amp;""</f>
        <v/>
      </c>
      <c r="I369" t="str">
        <f>IF(accelikkatsu356="","希望しない",accelikkatsu356)</f>
        <v>希望しない</v>
      </c>
      <c r="J369" t="str">
        <f>IF(belugabunyn356="","なし",belugabunyn356)</f>
        <v>なし</v>
      </c>
      <c r="K369" s="59" t="str">
        <f>belugabun356&amp;""</f>
        <v/>
      </c>
      <c r="L369" t="b">
        <f>shutoku356</f>
        <v>0</v>
      </c>
    </row>
    <row r="370" spans="1:12">
      <c r="A370">
        <v>357</v>
      </c>
      <c r="C370" t="str">
        <f>shubetsu357&amp;""</f>
        <v/>
      </c>
      <c r="D370" s="58" t="str">
        <f>billid357&amp;""</f>
        <v/>
      </c>
      <c r="E370" s="58" t="str">
        <f>UPPER(SUBSTITUTE(番明[[#This Row],[ご請求番号]],"-",""))</f>
        <v/>
      </c>
      <c r="F370" s="58" t="str">
        <f>keiyakuid357&amp;""</f>
        <v/>
      </c>
      <c r="I370" t="str">
        <f>IF(accelikkatsu357="","希望しない",accelikkatsu357)</f>
        <v>希望しない</v>
      </c>
      <c r="J370" t="str">
        <f>IF(belugabunyn357="","なし",belugabunyn357)</f>
        <v>なし</v>
      </c>
      <c r="K370" s="59" t="str">
        <f>belugabun357&amp;""</f>
        <v/>
      </c>
      <c r="L370" t="b">
        <f>shutoku357</f>
        <v>0</v>
      </c>
    </row>
    <row r="371" spans="1:12">
      <c r="A371">
        <v>358</v>
      </c>
      <c r="C371" t="str">
        <f>shubetsu358&amp;""</f>
        <v/>
      </c>
      <c r="D371" s="58" t="str">
        <f>billid358&amp;""</f>
        <v/>
      </c>
      <c r="E371" s="58" t="str">
        <f>UPPER(SUBSTITUTE(番明[[#This Row],[ご請求番号]],"-",""))</f>
        <v/>
      </c>
      <c r="F371" s="58" t="str">
        <f>keiyakuid358&amp;""</f>
        <v/>
      </c>
      <c r="I371" t="str">
        <f>IF(accelikkatsu358="","希望しない",accelikkatsu358)</f>
        <v>希望しない</v>
      </c>
      <c r="J371" t="str">
        <f>IF(belugabunyn358="","なし",belugabunyn358)</f>
        <v>なし</v>
      </c>
      <c r="K371" s="59" t="str">
        <f>belugabun358&amp;""</f>
        <v/>
      </c>
      <c r="L371" t="b">
        <f>shutoku358</f>
        <v>0</v>
      </c>
    </row>
    <row r="372" spans="1:12">
      <c r="A372">
        <v>359</v>
      </c>
      <c r="C372" t="str">
        <f>shubetsu359&amp;""</f>
        <v/>
      </c>
      <c r="D372" s="58" t="str">
        <f>billid359&amp;""</f>
        <v/>
      </c>
      <c r="E372" s="58" t="str">
        <f>UPPER(SUBSTITUTE(番明[[#This Row],[ご請求番号]],"-",""))</f>
        <v/>
      </c>
      <c r="F372" s="58" t="str">
        <f>keiyakuid359&amp;""</f>
        <v/>
      </c>
      <c r="I372" t="str">
        <f>IF(accelikkatsu359="","希望しない",accelikkatsu359)</f>
        <v>希望しない</v>
      </c>
      <c r="J372" t="str">
        <f>IF(belugabunyn359="","なし",belugabunyn359)</f>
        <v>なし</v>
      </c>
      <c r="K372" s="59" t="str">
        <f>belugabun359&amp;""</f>
        <v/>
      </c>
      <c r="L372" t="b">
        <f>shutoku359</f>
        <v>0</v>
      </c>
    </row>
    <row r="373" spans="1:12">
      <c r="A373">
        <v>360</v>
      </c>
      <c r="C373" t="str">
        <f>shubetsu360&amp;""</f>
        <v/>
      </c>
      <c r="D373" s="58" t="str">
        <f>billid360&amp;""</f>
        <v/>
      </c>
      <c r="E373" s="58" t="str">
        <f>UPPER(SUBSTITUTE(番明[[#This Row],[ご請求番号]],"-",""))</f>
        <v/>
      </c>
      <c r="F373" s="58" t="str">
        <f>keiyakuid360&amp;""</f>
        <v/>
      </c>
      <c r="I373" t="str">
        <f>IF(accelikkatsu360="","希望しない",accelikkatsu360)</f>
        <v>希望しない</v>
      </c>
      <c r="J373" t="str">
        <f>IF(belugabunyn360="","なし",belugabunyn360)</f>
        <v>なし</v>
      </c>
      <c r="K373" s="59" t="str">
        <f>belugabun360&amp;""</f>
        <v/>
      </c>
      <c r="L373" t="b">
        <f>shutoku360</f>
        <v>0</v>
      </c>
    </row>
    <row r="374" spans="1:12">
      <c r="A374">
        <v>361</v>
      </c>
      <c r="C374" t="str">
        <f>shubetsu361&amp;""</f>
        <v/>
      </c>
      <c r="D374" s="58" t="str">
        <f>billid361&amp;""</f>
        <v/>
      </c>
      <c r="E374" s="58" t="str">
        <f>UPPER(SUBSTITUTE(番明[[#This Row],[ご請求番号]],"-",""))</f>
        <v/>
      </c>
      <c r="F374" s="58" t="str">
        <f>keiyakuid361&amp;""</f>
        <v/>
      </c>
      <c r="I374" t="str">
        <f>IF(accelikkatsu361="","希望しない",accelikkatsu361)</f>
        <v>希望しない</v>
      </c>
      <c r="J374" t="str">
        <f>IF(belugabunyn361="","なし",belugabunyn361)</f>
        <v>なし</v>
      </c>
      <c r="K374" s="59" t="str">
        <f>belugabun361&amp;""</f>
        <v/>
      </c>
      <c r="L374" t="b">
        <f>shutoku361</f>
        <v>0</v>
      </c>
    </row>
    <row r="375" spans="1:12">
      <c r="A375">
        <v>362</v>
      </c>
      <c r="C375" t="str">
        <f>shubetsu362&amp;""</f>
        <v/>
      </c>
      <c r="D375" s="58" t="str">
        <f>billid362&amp;""</f>
        <v/>
      </c>
      <c r="E375" s="58" t="str">
        <f>UPPER(SUBSTITUTE(番明[[#This Row],[ご請求番号]],"-",""))</f>
        <v/>
      </c>
      <c r="F375" s="58" t="str">
        <f>keiyakuid362&amp;""</f>
        <v/>
      </c>
      <c r="I375" t="str">
        <f>IF(accelikkatsu362="","希望しない",accelikkatsu362)</f>
        <v>希望しない</v>
      </c>
      <c r="J375" t="str">
        <f>IF(belugabunyn362="","なし",belugabunyn362)</f>
        <v>なし</v>
      </c>
      <c r="K375" s="59" t="str">
        <f>belugabun362&amp;""</f>
        <v/>
      </c>
      <c r="L375" t="b">
        <f>shutoku362</f>
        <v>0</v>
      </c>
    </row>
    <row r="376" spans="1:12">
      <c r="A376">
        <v>363</v>
      </c>
      <c r="C376" t="str">
        <f>shubetsu363&amp;""</f>
        <v/>
      </c>
      <c r="D376" s="58" t="str">
        <f>billid363&amp;""</f>
        <v/>
      </c>
      <c r="E376" s="58" t="str">
        <f>UPPER(SUBSTITUTE(番明[[#This Row],[ご請求番号]],"-",""))</f>
        <v/>
      </c>
      <c r="F376" s="58" t="str">
        <f>keiyakuid363&amp;""</f>
        <v/>
      </c>
      <c r="I376" t="str">
        <f>IF(accelikkatsu363="","希望しない",accelikkatsu363)</f>
        <v>希望しない</v>
      </c>
      <c r="J376" t="str">
        <f>IF(belugabunyn363="","なし",belugabunyn363)</f>
        <v>なし</v>
      </c>
      <c r="K376" s="59" t="str">
        <f>belugabun363&amp;""</f>
        <v/>
      </c>
      <c r="L376" t="b">
        <f>shutoku363</f>
        <v>0</v>
      </c>
    </row>
    <row r="377" spans="1:12">
      <c r="A377">
        <v>364</v>
      </c>
      <c r="C377" t="str">
        <f>shubetsu364&amp;""</f>
        <v/>
      </c>
      <c r="D377" s="58" t="str">
        <f>billid364&amp;""</f>
        <v/>
      </c>
      <c r="E377" s="58" t="str">
        <f>UPPER(SUBSTITUTE(番明[[#This Row],[ご請求番号]],"-",""))</f>
        <v/>
      </c>
      <c r="F377" s="58" t="str">
        <f>keiyakuid364&amp;""</f>
        <v/>
      </c>
      <c r="I377" t="str">
        <f>IF(accelikkatsu364="","希望しない",accelikkatsu364)</f>
        <v>希望しない</v>
      </c>
      <c r="J377" t="str">
        <f>IF(belugabunyn364="","なし",belugabunyn364)</f>
        <v>なし</v>
      </c>
      <c r="K377" s="59" t="str">
        <f>belugabun364&amp;""</f>
        <v/>
      </c>
      <c r="L377" t="b">
        <f>shutoku364</f>
        <v>0</v>
      </c>
    </row>
    <row r="378" spans="1:12">
      <c r="A378">
        <v>365</v>
      </c>
      <c r="C378" t="str">
        <f>shubetsu365&amp;""</f>
        <v/>
      </c>
      <c r="D378" s="58" t="str">
        <f>billid365&amp;""</f>
        <v/>
      </c>
      <c r="E378" s="58" t="str">
        <f>UPPER(SUBSTITUTE(番明[[#This Row],[ご請求番号]],"-",""))</f>
        <v/>
      </c>
      <c r="F378" s="58" t="str">
        <f>keiyakuid365&amp;""</f>
        <v/>
      </c>
      <c r="I378" t="str">
        <f>IF(accelikkatsu365="","希望しない",accelikkatsu365)</f>
        <v>希望しない</v>
      </c>
      <c r="J378" t="str">
        <f>IF(belugabunyn365="","なし",belugabunyn365)</f>
        <v>なし</v>
      </c>
      <c r="K378" s="59" t="str">
        <f>belugabun365&amp;""</f>
        <v/>
      </c>
      <c r="L378" t="b">
        <f>shutoku365</f>
        <v>0</v>
      </c>
    </row>
    <row r="379" spans="1:12">
      <c r="A379">
        <v>366</v>
      </c>
      <c r="C379" t="str">
        <f>shubetsu366&amp;""</f>
        <v/>
      </c>
      <c r="D379" s="58" t="str">
        <f>billid366&amp;""</f>
        <v/>
      </c>
      <c r="E379" s="58" t="str">
        <f>UPPER(SUBSTITUTE(番明[[#This Row],[ご請求番号]],"-",""))</f>
        <v/>
      </c>
      <c r="F379" s="58" t="str">
        <f>keiyakuid366&amp;""</f>
        <v/>
      </c>
      <c r="I379" t="str">
        <f>IF(accelikkatsu366="","希望しない",accelikkatsu366)</f>
        <v>希望しない</v>
      </c>
      <c r="J379" t="str">
        <f>IF(belugabunyn366="","なし",belugabunyn366)</f>
        <v>なし</v>
      </c>
      <c r="K379" s="59" t="str">
        <f>belugabun366&amp;""</f>
        <v/>
      </c>
      <c r="L379" t="b">
        <f>shutoku366</f>
        <v>0</v>
      </c>
    </row>
    <row r="380" spans="1:12">
      <c r="A380">
        <v>367</v>
      </c>
      <c r="C380" t="str">
        <f>shubetsu367&amp;""</f>
        <v/>
      </c>
      <c r="D380" s="58" t="str">
        <f>billid367&amp;""</f>
        <v/>
      </c>
      <c r="E380" s="58" t="str">
        <f>UPPER(SUBSTITUTE(番明[[#This Row],[ご請求番号]],"-",""))</f>
        <v/>
      </c>
      <c r="F380" s="58" t="str">
        <f>keiyakuid367&amp;""</f>
        <v/>
      </c>
      <c r="I380" t="str">
        <f>IF(accelikkatsu367="","希望しない",accelikkatsu367)</f>
        <v>希望しない</v>
      </c>
      <c r="J380" t="str">
        <f>IF(belugabunyn367="","なし",belugabunyn367)</f>
        <v>なし</v>
      </c>
      <c r="K380" s="59" t="str">
        <f>belugabun367&amp;""</f>
        <v/>
      </c>
      <c r="L380" t="b">
        <f>shutoku367</f>
        <v>0</v>
      </c>
    </row>
    <row r="381" spans="1:12">
      <c r="A381">
        <v>368</v>
      </c>
      <c r="C381" t="str">
        <f>shubetsu368&amp;""</f>
        <v/>
      </c>
      <c r="D381" s="58" t="str">
        <f>billid368&amp;""</f>
        <v/>
      </c>
      <c r="E381" s="58" t="str">
        <f>UPPER(SUBSTITUTE(番明[[#This Row],[ご請求番号]],"-",""))</f>
        <v/>
      </c>
      <c r="F381" s="58" t="str">
        <f>keiyakuid368&amp;""</f>
        <v/>
      </c>
      <c r="I381" t="str">
        <f>IF(accelikkatsu368="","希望しない",accelikkatsu368)</f>
        <v>希望しない</v>
      </c>
      <c r="J381" t="str">
        <f>IF(belugabunyn368="","なし",belugabunyn368)</f>
        <v>なし</v>
      </c>
      <c r="K381" s="59" t="str">
        <f>belugabun368&amp;""</f>
        <v/>
      </c>
      <c r="L381" t="b">
        <f>shutoku368</f>
        <v>0</v>
      </c>
    </row>
    <row r="382" spans="1:12">
      <c r="A382">
        <v>369</v>
      </c>
      <c r="C382" t="str">
        <f>shubetsu369&amp;""</f>
        <v/>
      </c>
      <c r="D382" s="58" t="str">
        <f>billid369&amp;""</f>
        <v/>
      </c>
      <c r="E382" s="58" t="str">
        <f>UPPER(SUBSTITUTE(番明[[#This Row],[ご請求番号]],"-",""))</f>
        <v/>
      </c>
      <c r="F382" s="58" t="str">
        <f>keiyakuid369&amp;""</f>
        <v/>
      </c>
      <c r="I382" t="str">
        <f>IF(accelikkatsu369="","希望しない",accelikkatsu369)</f>
        <v>希望しない</v>
      </c>
      <c r="J382" t="str">
        <f>IF(belugabunyn369="","なし",belugabunyn369)</f>
        <v>なし</v>
      </c>
      <c r="K382" s="59" t="str">
        <f>belugabun369&amp;""</f>
        <v/>
      </c>
      <c r="L382" t="b">
        <f>shutoku369</f>
        <v>0</v>
      </c>
    </row>
    <row r="383" spans="1:12">
      <c r="A383">
        <v>370</v>
      </c>
      <c r="C383" t="str">
        <f>shubetsu370&amp;""</f>
        <v/>
      </c>
      <c r="D383" s="58" t="str">
        <f>billid370&amp;""</f>
        <v/>
      </c>
      <c r="E383" s="58" t="str">
        <f>UPPER(SUBSTITUTE(番明[[#This Row],[ご請求番号]],"-",""))</f>
        <v/>
      </c>
      <c r="F383" s="58" t="str">
        <f>keiyakuid370&amp;""</f>
        <v/>
      </c>
      <c r="I383" t="str">
        <f>IF(accelikkatsu370="","希望しない",accelikkatsu370)</f>
        <v>希望しない</v>
      </c>
      <c r="J383" t="str">
        <f>IF(belugabunyn370="","なし",belugabunyn370)</f>
        <v>なし</v>
      </c>
      <c r="K383" s="59" t="str">
        <f>belugabun370&amp;""</f>
        <v/>
      </c>
      <c r="L383" t="b">
        <f>shutoku370</f>
        <v>0</v>
      </c>
    </row>
    <row r="384" spans="1:12">
      <c r="A384">
        <v>371</v>
      </c>
      <c r="C384" t="str">
        <f>shubetsu371&amp;""</f>
        <v/>
      </c>
      <c r="D384" s="58" t="str">
        <f>billid371&amp;""</f>
        <v/>
      </c>
      <c r="E384" s="58" t="str">
        <f>UPPER(SUBSTITUTE(番明[[#This Row],[ご請求番号]],"-",""))</f>
        <v/>
      </c>
      <c r="F384" s="58" t="str">
        <f>keiyakuid371&amp;""</f>
        <v/>
      </c>
      <c r="I384" t="str">
        <f>IF(accelikkatsu371="","希望しない",accelikkatsu371)</f>
        <v>希望しない</v>
      </c>
      <c r="J384" t="str">
        <f>IF(belugabunyn371="","なし",belugabunyn371)</f>
        <v>なし</v>
      </c>
      <c r="K384" s="59" t="str">
        <f>belugabun371&amp;""</f>
        <v/>
      </c>
      <c r="L384" t="b">
        <f>shutoku371</f>
        <v>0</v>
      </c>
    </row>
    <row r="385" spans="1:12">
      <c r="A385">
        <v>372</v>
      </c>
      <c r="C385" t="str">
        <f>shubetsu372&amp;""</f>
        <v/>
      </c>
      <c r="D385" s="58" t="str">
        <f>billid372&amp;""</f>
        <v/>
      </c>
      <c r="E385" s="58" t="str">
        <f>UPPER(SUBSTITUTE(番明[[#This Row],[ご請求番号]],"-",""))</f>
        <v/>
      </c>
      <c r="F385" s="58" t="str">
        <f>keiyakuid372&amp;""</f>
        <v/>
      </c>
      <c r="I385" t="str">
        <f>IF(accelikkatsu372="","希望しない",accelikkatsu372)</f>
        <v>希望しない</v>
      </c>
      <c r="J385" t="str">
        <f>IF(belugabunyn372="","なし",belugabunyn372)</f>
        <v>なし</v>
      </c>
      <c r="K385" s="59" t="str">
        <f>belugabun372&amp;""</f>
        <v/>
      </c>
      <c r="L385" t="b">
        <f>shutoku372</f>
        <v>0</v>
      </c>
    </row>
    <row r="386" spans="1:12">
      <c r="A386">
        <v>373</v>
      </c>
      <c r="C386" t="str">
        <f>shubetsu373&amp;""</f>
        <v/>
      </c>
      <c r="D386" s="58" t="str">
        <f>billid373&amp;""</f>
        <v/>
      </c>
      <c r="E386" s="58" t="str">
        <f>UPPER(SUBSTITUTE(番明[[#This Row],[ご請求番号]],"-",""))</f>
        <v/>
      </c>
      <c r="F386" s="58" t="str">
        <f>keiyakuid373&amp;""</f>
        <v/>
      </c>
      <c r="I386" t="str">
        <f>IF(accelikkatsu373="","希望しない",accelikkatsu373)</f>
        <v>希望しない</v>
      </c>
      <c r="J386" t="str">
        <f>IF(belugabunyn373="","なし",belugabunyn373)</f>
        <v>なし</v>
      </c>
      <c r="K386" s="59" t="str">
        <f>belugabun373&amp;""</f>
        <v/>
      </c>
      <c r="L386" t="b">
        <f>shutoku373</f>
        <v>0</v>
      </c>
    </row>
    <row r="387" spans="1:12">
      <c r="A387">
        <v>374</v>
      </c>
      <c r="C387" t="str">
        <f>shubetsu374&amp;""</f>
        <v/>
      </c>
      <c r="D387" s="58" t="str">
        <f>billid374&amp;""</f>
        <v/>
      </c>
      <c r="E387" s="58" t="str">
        <f>UPPER(SUBSTITUTE(番明[[#This Row],[ご請求番号]],"-",""))</f>
        <v/>
      </c>
      <c r="F387" s="58" t="str">
        <f>keiyakuid374&amp;""</f>
        <v/>
      </c>
      <c r="I387" t="str">
        <f>IF(accelikkatsu374="","希望しない",accelikkatsu374)</f>
        <v>希望しない</v>
      </c>
      <c r="J387" t="str">
        <f>IF(belugabunyn374="","なし",belugabunyn374)</f>
        <v>なし</v>
      </c>
      <c r="K387" s="59" t="str">
        <f>belugabun374&amp;""</f>
        <v/>
      </c>
      <c r="L387" t="b">
        <f>shutoku374</f>
        <v>0</v>
      </c>
    </row>
    <row r="388" spans="1:12">
      <c r="A388">
        <v>375</v>
      </c>
      <c r="C388" t="str">
        <f>shubetsu375&amp;""</f>
        <v/>
      </c>
      <c r="D388" s="58" t="str">
        <f>billid375&amp;""</f>
        <v/>
      </c>
      <c r="E388" s="58" t="str">
        <f>UPPER(SUBSTITUTE(番明[[#This Row],[ご請求番号]],"-",""))</f>
        <v/>
      </c>
      <c r="F388" s="58" t="str">
        <f>keiyakuid375&amp;""</f>
        <v/>
      </c>
      <c r="I388" t="str">
        <f>IF(accelikkatsu375="","希望しない",accelikkatsu375)</f>
        <v>希望しない</v>
      </c>
      <c r="J388" t="str">
        <f>IF(belugabunyn375="","なし",belugabunyn375)</f>
        <v>なし</v>
      </c>
      <c r="K388" s="59" t="str">
        <f>belugabun375&amp;""</f>
        <v/>
      </c>
      <c r="L388" t="b">
        <f>shutoku375</f>
        <v>0</v>
      </c>
    </row>
    <row r="389" spans="1:12">
      <c r="A389">
        <v>376</v>
      </c>
      <c r="C389" t="str">
        <f>shubetsu376&amp;""</f>
        <v/>
      </c>
      <c r="D389" s="58" t="str">
        <f>billid376&amp;""</f>
        <v/>
      </c>
      <c r="E389" s="58" t="str">
        <f>UPPER(SUBSTITUTE(番明[[#This Row],[ご請求番号]],"-",""))</f>
        <v/>
      </c>
      <c r="F389" s="58" t="str">
        <f>keiyakuid376&amp;""</f>
        <v/>
      </c>
      <c r="I389" t="str">
        <f>IF(accelikkatsu376="","希望しない",accelikkatsu376)</f>
        <v>希望しない</v>
      </c>
      <c r="J389" t="str">
        <f>IF(belugabunyn376="","なし",belugabunyn376)</f>
        <v>なし</v>
      </c>
      <c r="K389" s="59" t="str">
        <f>belugabun376&amp;""</f>
        <v/>
      </c>
      <c r="L389" t="b">
        <f>shutoku376</f>
        <v>0</v>
      </c>
    </row>
    <row r="390" spans="1:12">
      <c r="A390">
        <v>377</v>
      </c>
      <c r="C390" t="str">
        <f>shubetsu377&amp;""</f>
        <v/>
      </c>
      <c r="D390" s="58" t="str">
        <f>billid377&amp;""</f>
        <v/>
      </c>
      <c r="E390" s="58" t="str">
        <f>UPPER(SUBSTITUTE(番明[[#This Row],[ご請求番号]],"-",""))</f>
        <v/>
      </c>
      <c r="F390" s="58" t="str">
        <f>keiyakuid377&amp;""</f>
        <v/>
      </c>
      <c r="I390" t="str">
        <f>IF(accelikkatsu377="","希望しない",accelikkatsu377)</f>
        <v>希望しない</v>
      </c>
      <c r="J390" t="str">
        <f>IF(belugabunyn377="","なし",belugabunyn377)</f>
        <v>なし</v>
      </c>
      <c r="K390" s="59" t="str">
        <f>belugabun377&amp;""</f>
        <v/>
      </c>
      <c r="L390" t="b">
        <f>shutoku377</f>
        <v>0</v>
      </c>
    </row>
    <row r="391" spans="1:12">
      <c r="A391">
        <v>378</v>
      </c>
      <c r="C391" t="str">
        <f>shubetsu378&amp;""</f>
        <v/>
      </c>
      <c r="D391" s="58" t="str">
        <f>billid378&amp;""</f>
        <v/>
      </c>
      <c r="E391" s="58" t="str">
        <f>UPPER(SUBSTITUTE(番明[[#This Row],[ご請求番号]],"-",""))</f>
        <v/>
      </c>
      <c r="F391" s="58" t="str">
        <f>keiyakuid378&amp;""</f>
        <v/>
      </c>
      <c r="I391" t="str">
        <f>IF(accelikkatsu378="","希望しない",accelikkatsu378)</f>
        <v>希望しない</v>
      </c>
      <c r="J391" t="str">
        <f>IF(belugabunyn378="","なし",belugabunyn378)</f>
        <v>なし</v>
      </c>
      <c r="K391" s="59" t="str">
        <f>belugabun378&amp;""</f>
        <v/>
      </c>
      <c r="L391" t="b">
        <f>shutoku378</f>
        <v>0</v>
      </c>
    </row>
    <row r="392" spans="1:12">
      <c r="A392">
        <v>379</v>
      </c>
      <c r="C392" t="str">
        <f>shubetsu379&amp;""</f>
        <v/>
      </c>
      <c r="D392" s="58" t="str">
        <f>billid379&amp;""</f>
        <v/>
      </c>
      <c r="E392" s="58" t="str">
        <f>UPPER(SUBSTITUTE(番明[[#This Row],[ご請求番号]],"-",""))</f>
        <v/>
      </c>
      <c r="F392" s="58" t="str">
        <f>keiyakuid379&amp;""</f>
        <v/>
      </c>
      <c r="I392" t="str">
        <f>IF(accelikkatsu379="","希望しない",accelikkatsu379)</f>
        <v>希望しない</v>
      </c>
      <c r="J392" t="str">
        <f>IF(belugabunyn379="","なし",belugabunyn379)</f>
        <v>なし</v>
      </c>
      <c r="K392" s="59" t="str">
        <f>belugabun379&amp;""</f>
        <v/>
      </c>
      <c r="L392" t="b">
        <f>shutoku379</f>
        <v>0</v>
      </c>
    </row>
    <row r="393" spans="1:12">
      <c r="A393">
        <v>380</v>
      </c>
      <c r="C393" t="str">
        <f>shubetsu380&amp;""</f>
        <v/>
      </c>
      <c r="D393" s="58" t="str">
        <f>billid380&amp;""</f>
        <v/>
      </c>
      <c r="E393" s="58" t="str">
        <f>UPPER(SUBSTITUTE(番明[[#This Row],[ご請求番号]],"-",""))</f>
        <v/>
      </c>
      <c r="F393" s="58" t="str">
        <f>keiyakuid380&amp;""</f>
        <v/>
      </c>
      <c r="I393" t="str">
        <f>IF(accelikkatsu380="","希望しない",accelikkatsu380)</f>
        <v>希望しない</v>
      </c>
      <c r="J393" t="str">
        <f>IF(belugabunyn380="","なし",belugabunyn380)</f>
        <v>なし</v>
      </c>
      <c r="K393" s="59" t="str">
        <f>belugabun380&amp;""</f>
        <v/>
      </c>
      <c r="L393" t="b">
        <f>shutoku380</f>
        <v>0</v>
      </c>
    </row>
    <row r="394" spans="1:12">
      <c r="A394">
        <v>381</v>
      </c>
      <c r="C394" t="str">
        <f>shubetsu381&amp;""</f>
        <v/>
      </c>
      <c r="D394" s="58" t="str">
        <f>billid381&amp;""</f>
        <v/>
      </c>
      <c r="E394" s="58" t="str">
        <f>UPPER(SUBSTITUTE(番明[[#This Row],[ご請求番号]],"-",""))</f>
        <v/>
      </c>
      <c r="F394" s="58" t="str">
        <f>keiyakuid381&amp;""</f>
        <v/>
      </c>
      <c r="I394" t="str">
        <f>IF(accelikkatsu381="","希望しない",accelikkatsu381)</f>
        <v>希望しない</v>
      </c>
      <c r="J394" t="str">
        <f>IF(belugabunyn381="","なし",belugabunyn381)</f>
        <v>なし</v>
      </c>
      <c r="K394" s="59" t="str">
        <f>belugabun381&amp;""</f>
        <v/>
      </c>
      <c r="L394" t="b">
        <f>shutoku381</f>
        <v>0</v>
      </c>
    </row>
    <row r="395" spans="1:12">
      <c r="A395">
        <v>382</v>
      </c>
      <c r="C395" t="str">
        <f>shubetsu382&amp;""</f>
        <v/>
      </c>
      <c r="D395" s="58" t="str">
        <f>billid382&amp;""</f>
        <v/>
      </c>
      <c r="E395" s="58" t="str">
        <f>UPPER(SUBSTITUTE(番明[[#This Row],[ご請求番号]],"-",""))</f>
        <v/>
      </c>
      <c r="F395" s="58" t="str">
        <f>keiyakuid382&amp;""</f>
        <v/>
      </c>
      <c r="I395" t="str">
        <f>IF(accelikkatsu382="","希望しない",accelikkatsu382)</f>
        <v>希望しない</v>
      </c>
      <c r="J395" t="str">
        <f>IF(belugabunyn382="","なし",belugabunyn382)</f>
        <v>なし</v>
      </c>
      <c r="K395" s="59" t="str">
        <f>belugabun382&amp;""</f>
        <v/>
      </c>
      <c r="L395" t="b">
        <f>shutoku382</f>
        <v>0</v>
      </c>
    </row>
    <row r="396" spans="1:12">
      <c r="A396">
        <v>383</v>
      </c>
      <c r="C396" t="str">
        <f>shubetsu383&amp;""</f>
        <v/>
      </c>
      <c r="D396" s="58" t="str">
        <f>billid383&amp;""</f>
        <v/>
      </c>
      <c r="E396" s="58" t="str">
        <f>UPPER(SUBSTITUTE(番明[[#This Row],[ご請求番号]],"-",""))</f>
        <v/>
      </c>
      <c r="F396" s="58" t="str">
        <f>keiyakuid383&amp;""</f>
        <v/>
      </c>
      <c r="I396" t="str">
        <f>IF(accelikkatsu383="","希望しない",accelikkatsu383)</f>
        <v>希望しない</v>
      </c>
      <c r="J396" t="str">
        <f>IF(belugabunyn383="","なし",belugabunyn383)</f>
        <v>なし</v>
      </c>
      <c r="K396" s="59" t="str">
        <f>belugabun383&amp;""</f>
        <v/>
      </c>
      <c r="L396" t="b">
        <f>shutoku383</f>
        <v>0</v>
      </c>
    </row>
    <row r="397" spans="1:12">
      <c r="A397">
        <v>384</v>
      </c>
      <c r="C397" t="str">
        <f>shubetsu384&amp;""</f>
        <v/>
      </c>
      <c r="D397" s="58" t="str">
        <f>billid384&amp;""</f>
        <v/>
      </c>
      <c r="E397" s="58" t="str">
        <f>UPPER(SUBSTITUTE(番明[[#This Row],[ご請求番号]],"-",""))</f>
        <v/>
      </c>
      <c r="F397" s="58" t="str">
        <f>keiyakuid384&amp;""</f>
        <v/>
      </c>
      <c r="I397" t="str">
        <f>IF(accelikkatsu384="","希望しない",accelikkatsu384)</f>
        <v>希望しない</v>
      </c>
      <c r="J397" t="str">
        <f>IF(belugabunyn384="","なし",belugabunyn384)</f>
        <v>なし</v>
      </c>
      <c r="K397" s="59" t="str">
        <f>belugabun384&amp;""</f>
        <v/>
      </c>
      <c r="L397" t="b">
        <f>shutoku384</f>
        <v>0</v>
      </c>
    </row>
    <row r="398" spans="1:12">
      <c r="A398">
        <v>385</v>
      </c>
      <c r="C398" t="str">
        <f>shubetsu385&amp;""</f>
        <v/>
      </c>
      <c r="D398" s="58" t="str">
        <f>billid385&amp;""</f>
        <v/>
      </c>
      <c r="E398" s="58" t="str">
        <f>UPPER(SUBSTITUTE(番明[[#This Row],[ご請求番号]],"-",""))</f>
        <v/>
      </c>
      <c r="F398" s="58" t="str">
        <f>keiyakuid385&amp;""</f>
        <v/>
      </c>
      <c r="I398" t="str">
        <f>IF(accelikkatsu385="","希望しない",accelikkatsu385)</f>
        <v>希望しない</v>
      </c>
      <c r="J398" t="str">
        <f>IF(belugabunyn385="","なし",belugabunyn385)</f>
        <v>なし</v>
      </c>
      <c r="K398" s="59" t="str">
        <f>belugabun385&amp;""</f>
        <v/>
      </c>
      <c r="L398" t="b">
        <f>shutoku385</f>
        <v>0</v>
      </c>
    </row>
    <row r="399" spans="1:12">
      <c r="A399">
        <v>386</v>
      </c>
      <c r="C399" t="str">
        <f>shubetsu386&amp;""</f>
        <v/>
      </c>
      <c r="D399" s="58" t="str">
        <f>billid386&amp;""</f>
        <v/>
      </c>
      <c r="E399" s="58" t="str">
        <f>UPPER(SUBSTITUTE(番明[[#This Row],[ご請求番号]],"-",""))</f>
        <v/>
      </c>
      <c r="F399" s="58" t="str">
        <f>keiyakuid386&amp;""</f>
        <v/>
      </c>
      <c r="I399" t="str">
        <f>IF(accelikkatsu386="","希望しない",accelikkatsu386)</f>
        <v>希望しない</v>
      </c>
      <c r="J399" t="str">
        <f>IF(belugabunyn386="","なし",belugabunyn386)</f>
        <v>なし</v>
      </c>
      <c r="K399" s="59" t="str">
        <f>belugabun386&amp;""</f>
        <v/>
      </c>
      <c r="L399" t="b">
        <f>shutoku386</f>
        <v>0</v>
      </c>
    </row>
    <row r="400" spans="1:12">
      <c r="A400">
        <v>387</v>
      </c>
      <c r="C400" t="str">
        <f>shubetsu387&amp;""</f>
        <v/>
      </c>
      <c r="D400" s="58" t="str">
        <f>billid387&amp;""</f>
        <v/>
      </c>
      <c r="E400" s="58" t="str">
        <f>UPPER(SUBSTITUTE(番明[[#This Row],[ご請求番号]],"-",""))</f>
        <v/>
      </c>
      <c r="F400" s="58" t="str">
        <f>keiyakuid387&amp;""</f>
        <v/>
      </c>
      <c r="I400" t="str">
        <f>IF(accelikkatsu387="","希望しない",accelikkatsu387)</f>
        <v>希望しない</v>
      </c>
      <c r="J400" t="str">
        <f>IF(belugabunyn387="","なし",belugabunyn387)</f>
        <v>なし</v>
      </c>
      <c r="K400" s="59" t="str">
        <f>belugabun387&amp;""</f>
        <v/>
      </c>
      <c r="L400" t="b">
        <f>shutoku387</f>
        <v>0</v>
      </c>
    </row>
    <row r="401" spans="1:12">
      <c r="A401">
        <v>388</v>
      </c>
      <c r="C401" t="str">
        <f>shubetsu388&amp;""</f>
        <v/>
      </c>
      <c r="D401" s="58" t="str">
        <f>billid388&amp;""</f>
        <v/>
      </c>
      <c r="E401" s="58" t="str">
        <f>UPPER(SUBSTITUTE(番明[[#This Row],[ご請求番号]],"-",""))</f>
        <v/>
      </c>
      <c r="F401" s="58" t="str">
        <f>keiyakuid388&amp;""</f>
        <v/>
      </c>
      <c r="I401" t="str">
        <f>IF(accelikkatsu388="","希望しない",accelikkatsu388)</f>
        <v>希望しない</v>
      </c>
      <c r="J401" t="str">
        <f>IF(belugabunyn388="","なし",belugabunyn388)</f>
        <v>なし</v>
      </c>
      <c r="K401" s="59" t="str">
        <f>belugabun388&amp;""</f>
        <v/>
      </c>
      <c r="L401" t="b">
        <f>shutoku388</f>
        <v>0</v>
      </c>
    </row>
    <row r="402" spans="1:12">
      <c r="A402">
        <v>389</v>
      </c>
      <c r="C402" t="str">
        <f>shubetsu389&amp;""</f>
        <v/>
      </c>
      <c r="D402" s="58" t="str">
        <f>billid389&amp;""</f>
        <v/>
      </c>
      <c r="E402" s="58" t="str">
        <f>UPPER(SUBSTITUTE(番明[[#This Row],[ご請求番号]],"-",""))</f>
        <v/>
      </c>
      <c r="F402" s="58" t="str">
        <f>keiyakuid389&amp;""</f>
        <v/>
      </c>
      <c r="I402" t="str">
        <f>IF(accelikkatsu389="","希望しない",accelikkatsu389)</f>
        <v>希望しない</v>
      </c>
      <c r="J402" t="str">
        <f>IF(belugabunyn389="","なし",belugabunyn389)</f>
        <v>なし</v>
      </c>
      <c r="K402" s="59" t="str">
        <f>belugabun389&amp;""</f>
        <v/>
      </c>
      <c r="L402" t="b">
        <f>shutoku389</f>
        <v>0</v>
      </c>
    </row>
    <row r="403" spans="1:12">
      <c r="A403">
        <v>390</v>
      </c>
      <c r="C403" t="str">
        <f>shubetsu390&amp;""</f>
        <v/>
      </c>
      <c r="D403" s="58" t="str">
        <f>billid390&amp;""</f>
        <v/>
      </c>
      <c r="E403" s="58" t="str">
        <f>UPPER(SUBSTITUTE(番明[[#This Row],[ご請求番号]],"-",""))</f>
        <v/>
      </c>
      <c r="F403" s="58" t="str">
        <f>keiyakuid390&amp;""</f>
        <v/>
      </c>
      <c r="I403" t="str">
        <f>IF(accelikkatsu390="","希望しない",accelikkatsu390)</f>
        <v>希望しない</v>
      </c>
      <c r="J403" t="str">
        <f>IF(belugabunyn390="","なし",belugabunyn390)</f>
        <v>なし</v>
      </c>
      <c r="K403" s="59" t="str">
        <f>belugabun390&amp;""</f>
        <v/>
      </c>
      <c r="L403" t="b">
        <f>shutoku390</f>
        <v>0</v>
      </c>
    </row>
    <row r="404" spans="1:12">
      <c r="A404">
        <v>391</v>
      </c>
      <c r="C404" t="str">
        <f>shubetsu391&amp;""</f>
        <v/>
      </c>
      <c r="D404" s="58" t="str">
        <f>billid391&amp;""</f>
        <v/>
      </c>
      <c r="E404" s="58" t="str">
        <f>UPPER(SUBSTITUTE(番明[[#This Row],[ご請求番号]],"-",""))</f>
        <v/>
      </c>
      <c r="F404" s="58" t="str">
        <f>keiyakuid391&amp;""</f>
        <v/>
      </c>
      <c r="I404" t="str">
        <f>IF(accelikkatsu391="","希望しない",accelikkatsu391)</f>
        <v>希望しない</v>
      </c>
      <c r="J404" t="str">
        <f>IF(belugabunyn391="","なし",belugabunyn391)</f>
        <v>なし</v>
      </c>
      <c r="K404" s="59" t="str">
        <f>belugabun391&amp;""</f>
        <v/>
      </c>
      <c r="L404" t="b">
        <f>shutoku391</f>
        <v>0</v>
      </c>
    </row>
    <row r="405" spans="1:12">
      <c r="A405">
        <v>392</v>
      </c>
      <c r="C405" t="str">
        <f>shubetsu392&amp;""</f>
        <v/>
      </c>
      <c r="D405" s="58" t="str">
        <f>billid392&amp;""</f>
        <v/>
      </c>
      <c r="E405" s="58" t="str">
        <f>UPPER(SUBSTITUTE(番明[[#This Row],[ご請求番号]],"-",""))</f>
        <v/>
      </c>
      <c r="F405" s="58" t="str">
        <f>keiyakuid392&amp;""</f>
        <v/>
      </c>
      <c r="I405" t="str">
        <f>IF(accelikkatsu392="","希望しない",accelikkatsu392)</f>
        <v>希望しない</v>
      </c>
      <c r="J405" t="str">
        <f>IF(belugabunyn392="","なし",belugabunyn392)</f>
        <v>なし</v>
      </c>
      <c r="K405" s="59" t="str">
        <f>belugabun392&amp;""</f>
        <v/>
      </c>
      <c r="L405" t="b">
        <f>shutoku392</f>
        <v>0</v>
      </c>
    </row>
    <row r="406" spans="1:12">
      <c r="A406">
        <v>393</v>
      </c>
      <c r="C406" t="str">
        <f>shubetsu393&amp;""</f>
        <v/>
      </c>
      <c r="D406" s="58" t="str">
        <f>billid393&amp;""</f>
        <v/>
      </c>
      <c r="E406" s="58" t="str">
        <f>UPPER(SUBSTITUTE(番明[[#This Row],[ご請求番号]],"-",""))</f>
        <v/>
      </c>
      <c r="F406" s="58" t="str">
        <f>keiyakuid393&amp;""</f>
        <v/>
      </c>
      <c r="I406" t="str">
        <f>IF(accelikkatsu393="","希望しない",accelikkatsu393)</f>
        <v>希望しない</v>
      </c>
      <c r="J406" t="str">
        <f>IF(belugabunyn393="","なし",belugabunyn393)</f>
        <v>なし</v>
      </c>
      <c r="K406" s="59" t="str">
        <f>belugabun393&amp;""</f>
        <v/>
      </c>
      <c r="L406" t="b">
        <f>shutoku393</f>
        <v>0</v>
      </c>
    </row>
    <row r="407" spans="1:12">
      <c r="A407">
        <v>394</v>
      </c>
      <c r="C407" t="str">
        <f>shubetsu394&amp;""</f>
        <v/>
      </c>
      <c r="D407" s="58" t="str">
        <f>billid394&amp;""</f>
        <v/>
      </c>
      <c r="E407" s="58" t="str">
        <f>UPPER(SUBSTITUTE(番明[[#This Row],[ご請求番号]],"-",""))</f>
        <v/>
      </c>
      <c r="F407" s="58" t="str">
        <f>keiyakuid394&amp;""</f>
        <v/>
      </c>
      <c r="I407" t="str">
        <f>IF(accelikkatsu394="","希望しない",accelikkatsu394)</f>
        <v>希望しない</v>
      </c>
      <c r="J407" t="str">
        <f>IF(belugabunyn394="","なし",belugabunyn394)</f>
        <v>なし</v>
      </c>
      <c r="K407" s="59" t="str">
        <f>belugabun394&amp;""</f>
        <v/>
      </c>
      <c r="L407" t="b">
        <f>shutoku394</f>
        <v>0</v>
      </c>
    </row>
    <row r="408" spans="1:12">
      <c r="A408">
        <v>395</v>
      </c>
      <c r="C408" t="str">
        <f>shubetsu395&amp;""</f>
        <v/>
      </c>
      <c r="D408" s="58" t="str">
        <f>billid395&amp;""</f>
        <v/>
      </c>
      <c r="E408" s="58" t="str">
        <f>UPPER(SUBSTITUTE(番明[[#This Row],[ご請求番号]],"-",""))</f>
        <v/>
      </c>
      <c r="F408" s="58" t="str">
        <f>keiyakuid395&amp;""</f>
        <v/>
      </c>
      <c r="I408" t="str">
        <f>IF(accelikkatsu395="","希望しない",accelikkatsu395)</f>
        <v>希望しない</v>
      </c>
      <c r="J408" t="str">
        <f>IF(belugabunyn395="","なし",belugabunyn395)</f>
        <v>なし</v>
      </c>
      <c r="K408" s="59" t="str">
        <f>belugabun395&amp;""</f>
        <v/>
      </c>
      <c r="L408" t="b">
        <f>shutoku395</f>
        <v>0</v>
      </c>
    </row>
    <row r="409" spans="1:12">
      <c r="A409">
        <v>396</v>
      </c>
      <c r="C409" t="str">
        <f>shubetsu396&amp;""</f>
        <v/>
      </c>
      <c r="D409" s="58" t="str">
        <f>billid396&amp;""</f>
        <v/>
      </c>
      <c r="E409" s="58" t="str">
        <f>UPPER(SUBSTITUTE(番明[[#This Row],[ご請求番号]],"-",""))</f>
        <v/>
      </c>
      <c r="F409" s="58" t="str">
        <f>keiyakuid396&amp;""</f>
        <v/>
      </c>
      <c r="I409" t="str">
        <f>IF(accelikkatsu396="","希望しない",accelikkatsu396)</f>
        <v>希望しない</v>
      </c>
      <c r="J409" t="str">
        <f>IF(belugabunyn396="","なし",belugabunyn396)</f>
        <v>なし</v>
      </c>
      <c r="K409" s="59" t="str">
        <f>belugabun396&amp;""</f>
        <v/>
      </c>
      <c r="L409" t="b">
        <f>shutoku396</f>
        <v>0</v>
      </c>
    </row>
    <row r="410" spans="1:12">
      <c r="A410">
        <v>397</v>
      </c>
      <c r="C410" t="str">
        <f>shubetsu397&amp;""</f>
        <v/>
      </c>
      <c r="D410" s="58" t="str">
        <f>billid397&amp;""</f>
        <v/>
      </c>
      <c r="E410" s="58" t="str">
        <f>UPPER(SUBSTITUTE(番明[[#This Row],[ご請求番号]],"-",""))</f>
        <v/>
      </c>
      <c r="F410" s="58" t="str">
        <f>keiyakuid397&amp;""</f>
        <v/>
      </c>
      <c r="I410" t="str">
        <f>IF(accelikkatsu397="","希望しない",accelikkatsu397)</f>
        <v>希望しない</v>
      </c>
      <c r="J410" t="str">
        <f>IF(belugabunyn397="","なし",belugabunyn397)</f>
        <v>なし</v>
      </c>
      <c r="K410" s="59" t="str">
        <f>belugabun397&amp;""</f>
        <v/>
      </c>
      <c r="L410" t="b">
        <f>shutoku397</f>
        <v>0</v>
      </c>
    </row>
    <row r="411" spans="1:12">
      <c r="A411">
        <v>398</v>
      </c>
      <c r="C411" t="str">
        <f>shubetsu398&amp;""</f>
        <v/>
      </c>
      <c r="D411" s="58" t="str">
        <f>billid398&amp;""</f>
        <v/>
      </c>
      <c r="E411" s="58" t="str">
        <f>UPPER(SUBSTITUTE(番明[[#This Row],[ご請求番号]],"-",""))</f>
        <v/>
      </c>
      <c r="F411" s="58" t="str">
        <f>keiyakuid398&amp;""</f>
        <v/>
      </c>
      <c r="I411" t="str">
        <f>IF(accelikkatsu398="","希望しない",accelikkatsu398)</f>
        <v>希望しない</v>
      </c>
      <c r="J411" t="str">
        <f>IF(belugabunyn398="","なし",belugabunyn398)</f>
        <v>なし</v>
      </c>
      <c r="K411" s="59" t="str">
        <f>belugabun398&amp;""</f>
        <v/>
      </c>
      <c r="L411" t="b">
        <f>shutoku398</f>
        <v>0</v>
      </c>
    </row>
    <row r="412" spans="1:12">
      <c r="A412">
        <v>399</v>
      </c>
      <c r="C412" t="str">
        <f>shubetsu399&amp;""</f>
        <v/>
      </c>
      <c r="D412" s="58" t="str">
        <f>billid399&amp;""</f>
        <v/>
      </c>
      <c r="E412" s="58" t="str">
        <f>UPPER(SUBSTITUTE(番明[[#This Row],[ご請求番号]],"-",""))</f>
        <v/>
      </c>
      <c r="F412" s="58" t="str">
        <f>keiyakuid399&amp;""</f>
        <v/>
      </c>
      <c r="I412" t="str">
        <f>IF(accelikkatsu399="","希望しない",accelikkatsu399)</f>
        <v>希望しない</v>
      </c>
      <c r="J412" t="str">
        <f>IF(belugabunyn399="","なし",belugabunyn399)</f>
        <v>なし</v>
      </c>
      <c r="K412" s="59" t="str">
        <f>belugabun399&amp;""</f>
        <v/>
      </c>
      <c r="L412" t="b">
        <f>shutoku399</f>
        <v>0</v>
      </c>
    </row>
    <row r="413" spans="1:12">
      <c r="A413">
        <v>400</v>
      </c>
      <c r="C413" t="str">
        <f>shubetsu400&amp;""</f>
        <v/>
      </c>
      <c r="D413" s="58" t="str">
        <f>billid400&amp;""</f>
        <v/>
      </c>
      <c r="E413" s="58" t="str">
        <f>UPPER(SUBSTITUTE(番明[[#This Row],[ご請求番号]],"-",""))</f>
        <v/>
      </c>
      <c r="F413" s="58" t="str">
        <f>keiyakuid400&amp;""</f>
        <v/>
      </c>
      <c r="I413" t="str">
        <f>IF(accelikkatsu400="","希望しない",accelikkatsu400)</f>
        <v>希望しない</v>
      </c>
      <c r="J413" t="str">
        <f>IF(belugabunyn400="","なし",belugabunyn400)</f>
        <v>なし</v>
      </c>
      <c r="K413" s="59" t="str">
        <f>belugabun400&amp;""</f>
        <v/>
      </c>
      <c r="L413" t="b">
        <f>shutoku400</f>
        <v>0</v>
      </c>
    </row>
    <row r="414" spans="1:12">
      <c r="A414">
        <v>401</v>
      </c>
      <c r="C414" t="str">
        <f>shubetsu401&amp;""</f>
        <v/>
      </c>
      <c r="D414" s="58" t="str">
        <f>billid401&amp;""</f>
        <v/>
      </c>
      <c r="E414" s="58" t="str">
        <f>UPPER(SUBSTITUTE(番明[[#This Row],[ご請求番号]],"-",""))</f>
        <v/>
      </c>
      <c r="F414" s="58" t="str">
        <f>keiyakuid401&amp;""</f>
        <v/>
      </c>
      <c r="I414" t="str">
        <f>IF(accelikkatsu401="","希望しない",accelikkatsu401)</f>
        <v>希望しない</v>
      </c>
      <c r="J414" t="str">
        <f>IF(belugabunyn401="","なし",belugabunyn401)</f>
        <v>なし</v>
      </c>
      <c r="K414" s="59" t="str">
        <f>belugabun401&amp;""</f>
        <v/>
      </c>
      <c r="L414" t="b">
        <f>shutoku401</f>
        <v>0</v>
      </c>
    </row>
    <row r="415" spans="1:12">
      <c r="A415">
        <v>402</v>
      </c>
      <c r="C415" t="str">
        <f>shubetsu402&amp;""</f>
        <v/>
      </c>
      <c r="D415" s="58" t="str">
        <f>billid402&amp;""</f>
        <v/>
      </c>
      <c r="E415" s="58" t="str">
        <f>UPPER(SUBSTITUTE(番明[[#This Row],[ご請求番号]],"-",""))</f>
        <v/>
      </c>
      <c r="F415" s="58" t="str">
        <f>keiyakuid402&amp;""</f>
        <v/>
      </c>
      <c r="I415" t="str">
        <f>IF(accelikkatsu402="","希望しない",accelikkatsu402)</f>
        <v>希望しない</v>
      </c>
      <c r="J415" t="str">
        <f>IF(belugabunyn402="","なし",belugabunyn402)</f>
        <v>なし</v>
      </c>
      <c r="K415" s="59" t="str">
        <f>belugabun402&amp;""</f>
        <v/>
      </c>
      <c r="L415" t="b">
        <f>shutoku402</f>
        <v>0</v>
      </c>
    </row>
    <row r="416" spans="1:12">
      <c r="A416">
        <v>403</v>
      </c>
      <c r="C416" t="str">
        <f>shubetsu403&amp;""</f>
        <v/>
      </c>
      <c r="D416" s="58" t="str">
        <f>billid403&amp;""</f>
        <v/>
      </c>
      <c r="E416" s="58" t="str">
        <f>UPPER(SUBSTITUTE(番明[[#This Row],[ご請求番号]],"-",""))</f>
        <v/>
      </c>
      <c r="F416" s="58" t="str">
        <f>keiyakuid403&amp;""</f>
        <v/>
      </c>
      <c r="I416" t="str">
        <f>IF(accelikkatsu403="","希望しない",accelikkatsu403)</f>
        <v>希望しない</v>
      </c>
      <c r="J416" t="str">
        <f>IF(belugabunyn403="","なし",belugabunyn403)</f>
        <v>なし</v>
      </c>
      <c r="K416" s="59" t="str">
        <f>belugabun403&amp;""</f>
        <v/>
      </c>
      <c r="L416" t="b">
        <f>shutoku403</f>
        <v>0</v>
      </c>
    </row>
    <row r="417" spans="1:12">
      <c r="A417">
        <v>404</v>
      </c>
      <c r="C417" t="str">
        <f>shubetsu404&amp;""</f>
        <v/>
      </c>
      <c r="D417" s="58" t="str">
        <f>billid404&amp;""</f>
        <v/>
      </c>
      <c r="E417" s="58" t="str">
        <f>UPPER(SUBSTITUTE(番明[[#This Row],[ご請求番号]],"-",""))</f>
        <v/>
      </c>
      <c r="F417" s="58" t="str">
        <f>keiyakuid404&amp;""</f>
        <v/>
      </c>
      <c r="I417" t="str">
        <f>IF(accelikkatsu404="","希望しない",accelikkatsu404)</f>
        <v>希望しない</v>
      </c>
      <c r="J417" t="str">
        <f>IF(belugabunyn404="","なし",belugabunyn404)</f>
        <v>なし</v>
      </c>
      <c r="K417" s="59" t="str">
        <f>belugabun404&amp;""</f>
        <v/>
      </c>
      <c r="L417" t="b">
        <f>shutoku404</f>
        <v>0</v>
      </c>
    </row>
    <row r="418" spans="1:12">
      <c r="A418">
        <v>405</v>
      </c>
      <c r="C418" t="str">
        <f>shubetsu405&amp;""</f>
        <v/>
      </c>
      <c r="D418" s="58" t="str">
        <f>billid405&amp;""</f>
        <v/>
      </c>
      <c r="E418" s="58" t="str">
        <f>UPPER(SUBSTITUTE(番明[[#This Row],[ご請求番号]],"-",""))</f>
        <v/>
      </c>
      <c r="F418" s="58" t="str">
        <f>keiyakuid405&amp;""</f>
        <v/>
      </c>
      <c r="I418" t="str">
        <f>IF(accelikkatsu405="","希望しない",accelikkatsu405)</f>
        <v>希望しない</v>
      </c>
      <c r="J418" t="str">
        <f>IF(belugabunyn405="","なし",belugabunyn405)</f>
        <v>なし</v>
      </c>
      <c r="K418" s="59" t="str">
        <f>belugabun405&amp;""</f>
        <v/>
      </c>
      <c r="L418" t="b">
        <f>shutoku405</f>
        <v>0</v>
      </c>
    </row>
    <row r="419" spans="1:12">
      <c r="A419">
        <v>406</v>
      </c>
      <c r="C419" t="str">
        <f>shubetsu406&amp;""</f>
        <v/>
      </c>
      <c r="D419" s="58" t="str">
        <f>billid406&amp;""</f>
        <v/>
      </c>
      <c r="E419" s="58" t="str">
        <f>UPPER(SUBSTITUTE(番明[[#This Row],[ご請求番号]],"-",""))</f>
        <v/>
      </c>
      <c r="F419" s="58" t="str">
        <f>keiyakuid406&amp;""</f>
        <v/>
      </c>
      <c r="I419" t="str">
        <f>IF(accelikkatsu406="","希望しない",accelikkatsu406)</f>
        <v>希望しない</v>
      </c>
      <c r="J419" t="str">
        <f>IF(belugabunyn406="","なし",belugabunyn406)</f>
        <v>なし</v>
      </c>
      <c r="K419" s="59" t="str">
        <f>belugabun406&amp;""</f>
        <v/>
      </c>
      <c r="L419" t="b">
        <f>shutoku406</f>
        <v>0</v>
      </c>
    </row>
    <row r="420" spans="1:12">
      <c r="A420">
        <v>407</v>
      </c>
      <c r="C420" t="str">
        <f>shubetsu407&amp;""</f>
        <v/>
      </c>
      <c r="D420" s="58" t="str">
        <f>billid407&amp;""</f>
        <v/>
      </c>
      <c r="E420" s="58" t="str">
        <f>UPPER(SUBSTITUTE(番明[[#This Row],[ご請求番号]],"-",""))</f>
        <v/>
      </c>
      <c r="F420" s="58" t="str">
        <f>keiyakuid407&amp;""</f>
        <v/>
      </c>
      <c r="I420" t="str">
        <f>IF(accelikkatsu407="","希望しない",accelikkatsu407)</f>
        <v>希望しない</v>
      </c>
      <c r="J420" t="str">
        <f>IF(belugabunyn407="","なし",belugabunyn407)</f>
        <v>なし</v>
      </c>
      <c r="K420" s="59" t="str">
        <f>belugabun407&amp;""</f>
        <v/>
      </c>
      <c r="L420" t="b">
        <f>shutoku407</f>
        <v>0</v>
      </c>
    </row>
    <row r="421" spans="1:12">
      <c r="A421">
        <v>408</v>
      </c>
      <c r="C421" t="str">
        <f>shubetsu408&amp;""</f>
        <v/>
      </c>
      <c r="D421" s="58" t="str">
        <f>billid408&amp;""</f>
        <v/>
      </c>
      <c r="E421" s="58" t="str">
        <f>UPPER(SUBSTITUTE(番明[[#This Row],[ご請求番号]],"-",""))</f>
        <v/>
      </c>
      <c r="F421" s="58" t="str">
        <f>keiyakuid408&amp;""</f>
        <v/>
      </c>
      <c r="I421" t="str">
        <f>IF(accelikkatsu408="","希望しない",accelikkatsu408)</f>
        <v>希望しない</v>
      </c>
      <c r="J421" t="str">
        <f>IF(belugabunyn408="","なし",belugabunyn408)</f>
        <v>なし</v>
      </c>
      <c r="K421" s="59" t="str">
        <f>belugabun408&amp;""</f>
        <v/>
      </c>
      <c r="L421" t="b">
        <f>shutoku408</f>
        <v>0</v>
      </c>
    </row>
    <row r="422" spans="1:12">
      <c r="A422">
        <v>409</v>
      </c>
      <c r="C422" t="str">
        <f>shubetsu409&amp;""</f>
        <v/>
      </c>
      <c r="D422" s="58" t="str">
        <f>billid409&amp;""</f>
        <v/>
      </c>
      <c r="E422" s="58" t="str">
        <f>UPPER(SUBSTITUTE(番明[[#This Row],[ご請求番号]],"-",""))</f>
        <v/>
      </c>
      <c r="F422" s="58" t="str">
        <f>keiyakuid409&amp;""</f>
        <v/>
      </c>
      <c r="I422" t="str">
        <f>IF(accelikkatsu409="","希望しない",accelikkatsu409)</f>
        <v>希望しない</v>
      </c>
      <c r="J422" t="str">
        <f>IF(belugabunyn409="","なし",belugabunyn409)</f>
        <v>なし</v>
      </c>
      <c r="K422" s="59" t="str">
        <f>belugabun409&amp;""</f>
        <v/>
      </c>
      <c r="L422" t="b">
        <f>shutoku409</f>
        <v>0</v>
      </c>
    </row>
    <row r="423" spans="1:12">
      <c r="A423">
        <v>410</v>
      </c>
      <c r="C423" t="str">
        <f>shubetsu410&amp;""</f>
        <v/>
      </c>
      <c r="D423" s="58" t="str">
        <f>billid410&amp;""</f>
        <v/>
      </c>
      <c r="E423" s="58" t="str">
        <f>UPPER(SUBSTITUTE(番明[[#This Row],[ご請求番号]],"-",""))</f>
        <v/>
      </c>
      <c r="F423" s="58" t="str">
        <f>keiyakuid410&amp;""</f>
        <v/>
      </c>
      <c r="I423" t="str">
        <f>IF(accelikkatsu410="","希望しない",accelikkatsu410)</f>
        <v>希望しない</v>
      </c>
      <c r="J423" t="str">
        <f>IF(belugabunyn410="","なし",belugabunyn410)</f>
        <v>なし</v>
      </c>
      <c r="K423" s="59" t="str">
        <f>belugabun410&amp;""</f>
        <v/>
      </c>
      <c r="L423" t="b">
        <f>shutoku410</f>
        <v>0</v>
      </c>
    </row>
    <row r="424" spans="1:12">
      <c r="A424">
        <v>411</v>
      </c>
      <c r="C424" t="str">
        <f>shubetsu411&amp;""</f>
        <v/>
      </c>
      <c r="D424" s="58" t="str">
        <f>billid411&amp;""</f>
        <v/>
      </c>
      <c r="E424" s="58" t="str">
        <f>UPPER(SUBSTITUTE(番明[[#This Row],[ご請求番号]],"-",""))</f>
        <v/>
      </c>
      <c r="F424" s="58" t="str">
        <f>keiyakuid411&amp;""</f>
        <v/>
      </c>
      <c r="I424" t="str">
        <f>IF(accelikkatsu411="","希望しない",accelikkatsu411)</f>
        <v>希望しない</v>
      </c>
      <c r="J424" t="str">
        <f>IF(belugabunyn411="","なし",belugabunyn411)</f>
        <v>なし</v>
      </c>
      <c r="K424" s="59" t="str">
        <f>belugabun411&amp;""</f>
        <v/>
      </c>
      <c r="L424" t="b">
        <f>shutoku411</f>
        <v>0</v>
      </c>
    </row>
    <row r="425" spans="1:12">
      <c r="A425">
        <v>412</v>
      </c>
      <c r="C425" t="str">
        <f>shubetsu412&amp;""</f>
        <v/>
      </c>
      <c r="D425" s="58" t="str">
        <f>billid412&amp;""</f>
        <v/>
      </c>
      <c r="E425" s="58" t="str">
        <f>UPPER(SUBSTITUTE(番明[[#This Row],[ご請求番号]],"-",""))</f>
        <v/>
      </c>
      <c r="F425" s="58" t="str">
        <f>keiyakuid412&amp;""</f>
        <v/>
      </c>
      <c r="I425" t="str">
        <f>IF(accelikkatsu412="","希望しない",accelikkatsu412)</f>
        <v>希望しない</v>
      </c>
      <c r="J425" t="str">
        <f>IF(belugabunyn412="","なし",belugabunyn412)</f>
        <v>なし</v>
      </c>
      <c r="K425" s="59" t="str">
        <f>belugabun412&amp;""</f>
        <v/>
      </c>
      <c r="L425" t="b">
        <f>shutoku412</f>
        <v>0</v>
      </c>
    </row>
    <row r="426" spans="1:12">
      <c r="A426">
        <v>413</v>
      </c>
      <c r="C426" t="str">
        <f>shubetsu413&amp;""</f>
        <v/>
      </c>
      <c r="D426" s="58" t="str">
        <f>billid413&amp;""</f>
        <v/>
      </c>
      <c r="E426" s="58" t="str">
        <f>UPPER(SUBSTITUTE(番明[[#This Row],[ご請求番号]],"-",""))</f>
        <v/>
      </c>
      <c r="F426" s="58" t="str">
        <f>keiyakuid413&amp;""</f>
        <v/>
      </c>
      <c r="I426" t="str">
        <f>IF(accelikkatsu413="","希望しない",accelikkatsu413)</f>
        <v>希望しない</v>
      </c>
      <c r="J426" t="str">
        <f>IF(belugabunyn413="","なし",belugabunyn413)</f>
        <v>なし</v>
      </c>
      <c r="K426" s="59" t="str">
        <f>belugabun413&amp;""</f>
        <v/>
      </c>
      <c r="L426" t="b">
        <f>shutoku413</f>
        <v>0</v>
      </c>
    </row>
    <row r="427" spans="1:12">
      <c r="A427">
        <v>414</v>
      </c>
      <c r="C427" t="str">
        <f>shubetsu414&amp;""</f>
        <v/>
      </c>
      <c r="D427" s="58" t="str">
        <f>billid414&amp;""</f>
        <v/>
      </c>
      <c r="E427" s="58" t="str">
        <f>UPPER(SUBSTITUTE(番明[[#This Row],[ご請求番号]],"-",""))</f>
        <v/>
      </c>
      <c r="F427" s="58" t="str">
        <f>keiyakuid414&amp;""</f>
        <v/>
      </c>
      <c r="I427" t="str">
        <f>IF(accelikkatsu414="","希望しない",accelikkatsu414)</f>
        <v>希望しない</v>
      </c>
      <c r="J427" t="str">
        <f>IF(belugabunyn414="","なし",belugabunyn414)</f>
        <v>なし</v>
      </c>
      <c r="K427" s="59" t="str">
        <f>belugabun414&amp;""</f>
        <v/>
      </c>
      <c r="L427" t="b">
        <f>shutoku414</f>
        <v>0</v>
      </c>
    </row>
    <row r="428" spans="1:12">
      <c r="A428">
        <v>415</v>
      </c>
      <c r="C428" t="str">
        <f>shubetsu415&amp;""</f>
        <v/>
      </c>
      <c r="D428" s="58" t="str">
        <f>billid415&amp;""</f>
        <v/>
      </c>
      <c r="E428" s="58" t="str">
        <f>UPPER(SUBSTITUTE(番明[[#This Row],[ご請求番号]],"-",""))</f>
        <v/>
      </c>
      <c r="F428" s="58" t="str">
        <f>keiyakuid415&amp;""</f>
        <v/>
      </c>
      <c r="I428" t="str">
        <f>IF(accelikkatsu415="","希望しない",accelikkatsu415)</f>
        <v>希望しない</v>
      </c>
      <c r="J428" t="str">
        <f>IF(belugabunyn415="","なし",belugabunyn415)</f>
        <v>なし</v>
      </c>
      <c r="K428" s="59" t="str">
        <f>belugabun415&amp;""</f>
        <v/>
      </c>
      <c r="L428" t="b">
        <f>shutoku415</f>
        <v>0</v>
      </c>
    </row>
    <row r="429" spans="1:12">
      <c r="A429">
        <v>416</v>
      </c>
      <c r="C429" t="str">
        <f>shubetsu416&amp;""</f>
        <v/>
      </c>
      <c r="D429" s="58" t="str">
        <f>billid416&amp;""</f>
        <v/>
      </c>
      <c r="E429" s="58" t="str">
        <f>UPPER(SUBSTITUTE(番明[[#This Row],[ご請求番号]],"-",""))</f>
        <v/>
      </c>
      <c r="F429" s="58" t="str">
        <f>keiyakuid416&amp;""</f>
        <v/>
      </c>
      <c r="I429" t="str">
        <f>IF(accelikkatsu416="","希望しない",accelikkatsu416)</f>
        <v>希望しない</v>
      </c>
      <c r="J429" t="str">
        <f>IF(belugabunyn416="","なし",belugabunyn416)</f>
        <v>なし</v>
      </c>
      <c r="K429" s="59" t="str">
        <f>belugabun416&amp;""</f>
        <v/>
      </c>
      <c r="L429" t="b">
        <f>shutoku416</f>
        <v>0</v>
      </c>
    </row>
    <row r="430" spans="1:12">
      <c r="A430">
        <v>417</v>
      </c>
      <c r="C430" t="str">
        <f>shubetsu417&amp;""</f>
        <v/>
      </c>
      <c r="D430" s="58" t="str">
        <f>billid417&amp;""</f>
        <v/>
      </c>
      <c r="E430" s="58" t="str">
        <f>UPPER(SUBSTITUTE(番明[[#This Row],[ご請求番号]],"-",""))</f>
        <v/>
      </c>
      <c r="F430" s="58" t="str">
        <f>keiyakuid417&amp;""</f>
        <v/>
      </c>
      <c r="I430" t="str">
        <f>IF(accelikkatsu417="","希望しない",accelikkatsu417)</f>
        <v>希望しない</v>
      </c>
      <c r="J430" t="str">
        <f>IF(belugabunyn417="","なし",belugabunyn417)</f>
        <v>なし</v>
      </c>
      <c r="K430" s="59" t="str">
        <f>belugabun417&amp;""</f>
        <v/>
      </c>
      <c r="L430" t="b">
        <f>shutoku417</f>
        <v>0</v>
      </c>
    </row>
    <row r="431" spans="1:12">
      <c r="A431">
        <v>418</v>
      </c>
      <c r="C431" t="str">
        <f>shubetsu418&amp;""</f>
        <v/>
      </c>
      <c r="D431" s="58" t="str">
        <f>billid418&amp;""</f>
        <v/>
      </c>
      <c r="E431" s="58" t="str">
        <f>UPPER(SUBSTITUTE(番明[[#This Row],[ご請求番号]],"-",""))</f>
        <v/>
      </c>
      <c r="F431" s="58" t="str">
        <f>keiyakuid418&amp;""</f>
        <v/>
      </c>
      <c r="I431" t="str">
        <f>IF(accelikkatsu418="","希望しない",accelikkatsu418)</f>
        <v>希望しない</v>
      </c>
      <c r="J431" t="str">
        <f>IF(belugabunyn418="","なし",belugabunyn418)</f>
        <v>なし</v>
      </c>
      <c r="K431" s="59" t="str">
        <f>belugabun418&amp;""</f>
        <v/>
      </c>
      <c r="L431" t="b">
        <f>shutoku418</f>
        <v>0</v>
      </c>
    </row>
    <row r="432" spans="1:12">
      <c r="A432">
        <v>419</v>
      </c>
      <c r="C432" t="str">
        <f>shubetsu419&amp;""</f>
        <v/>
      </c>
      <c r="D432" s="58" t="str">
        <f>billid419&amp;""</f>
        <v/>
      </c>
      <c r="E432" s="58" t="str">
        <f>UPPER(SUBSTITUTE(番明[[#This Row],[ご請求番号]],"-",""))</f>
        <v/>
      </c>
      <c r="F432" s="58" t="str">
        <f>keiyakuid419&amp;""</f>
        <v/>
      </c>
      <c r="I432" t="str">
        <f>IF(accelikkatsu419="","希望しない",accelikkatsu419)</f>
        <v>希望しない</v>
      </c>
      <c r="J432" t="str">
        <f>IF(belugabunyn419="","なし",belugabunyn419)</f>
        <v>なし</v>
      </c>
      <c r="K432" s="59" t="str">
        <f>belugabun419&amp;""</f>
        <v/>
      </c>
      <c r="L432" t="b">
        <f>shutoku419</f>
        <v>0</v>
      </c>
    </row>
    <row r="433" spans="1:12">
      <c r="A433">
        <v>420</v>
      </c>
      <c r="C433" t="str">
        <f>shubetsu420&amp;""</f>
        <v/>
      </c>
      <c r="D433" s="58" t="str">
        <f>billid420&amp;""</f>
        <v/>
      </c>
      <c r="E433" s="58" t="str">
        <f>UPPER(SUBSTITUTE(番明[[#This Row],[ご請求番号]],"-",""))</f>
        <v/>
      </c>
      <c r="F433" s="58" t="str">
        <f>keiyakuid420&amp;""</f>
        <v/>
      </c>
      <c r="I433" t="str">
        <f>IF(accelikkatsu420="","希望しない",accelikkatsu420)</f>
        <v>希望しない</v>
      </c>
      <c r="J433" t="str">
        <f>IF(belugabunyn420="","なし",belugabunyn420)</f>
        <v>なし</v>
      </c>
      <c r="K433" s="59" t="str">
        <f>belugabun420&amp;""</f>
        <v/>
      </c>
      <c r="L433" t="b">
        <f>shutoku420</f>
        <v>0</v>
      </c>
    </row>
    <row r="434" spans="1:12">
      <c r="A434">
        <v>421</v>
      </c>
      <c r="C434" t="str">
        <f>shubetsu421&amp;""</f>
        <v/>
      </c>
      <c r="D434" s="58" t="str">
        <f>billid421&amp;""</f>
        <v/>
      </c>
      <c r="E434" s="58" t="str">
        <f>UPPER(SUBSTITUTE(番明[[#This Row],[ご請求番号]],"-",""))</f>
        <v/>
      </c>
      <c r="F434" s="58" t="str">
        <f>keiyakuid421&amp;""</f>
        <v/>
      </c>
      <c r="I434" t="str">
        <f>IF(accelikkatsu421="","希望しない",accelikkatsu421)</f>
        <v>希望しない</v>
      </c>
      <c r="J434" t="str">
        <f>IF(belugabunyn421="","なし",belugabunyn421)</f>
        <v>なし</v>
      </c>
      <c r="K434" s="59" t="str">
        <f>belugabun421&amp;""</f>
        <v/>
      </c>
      <c r="L434" t="b">
        <f>shutoku421</f>
        <v>0</v>
      </c>
    </row>
    <row r="435" spans="1:12">
      <c r="A435">
        <v>422</v>
      </c>
      <c r="C435" t="str">
        <f>shubetsu422&amp;""</f>
        <v/>
      </c>
      <c r="D435" s="58" t="str">
        <f>billid422&amp;""</f>
        <v/>
      </c>
      <c r="E435" s="58" t="str">
        <f>UPPER(SUBSTITUTE(番明[[#This Row],[ご請求番号]],"-",""))</f>
        <v/>
      </c>
      <c r="F435" s="58" t="str">
        <f>keiyakuid422&amp;""</f>
        <v/>
      </c>
      <c r="I435" t="str">
        <f>IF(accelikkatsu422="","希望しない",accelikkatsu422)</f>
        <v>希望しない</v>
      </c>
      <c r="J435" t="str">
        <f>IF(belugabunyn422="","なし",belugabunyn422)</f>
        <v>なし</v>
      </c>
      <c r="K435" s="59" t="str">
        <f>belugabun422&amp;""</f>
        <v/>
      </c>
      <c r="L435" t="b">
        <f>shutoku422</f>
        <v>0</v>
      </c>
    </row>
    <row r="436" spans="1:12">
      <c r="A436">
        <v>423</v>
      </c>
      <c r="C436" t="str">
        <f>shubetsu423&amp;""</f>
        <v/>
      </c>
      <c r="D436" s="58" t="str">
        <f>billid423&amp;""</f>
        <v/>
      </c>
      <c r="E436" s="58" t="str">
        <f>UPPER(SUBSTITUTE(番明[[#This Row],[ご請求番号]],"-",""))</f>
        <v/>
      </c>
      <c r="F436" s="58" t="str">
        <f>keiyakuid423&amp;""</f>
        <v/>
      </c>
      <c r="I436" t="str">
        <f>IF(accelikkatsu423="","希望しない",accelikkatsu423)</f>
        <v>希望しない</v>
      </c>
      <c r="J436" t="str">
        <f>IF(belugabunyn423="","なし",belugabunyn423)</f>
        <v>なし</v>
      </c>
      <c r="K436" s="59" t="str">
        <f>belugabun423&amp;""</f>
        <v/>
      </c>
      <c r="L436" t="b">
        <f>shutoku423</f>
        <v>0</v>
      </c>
    </row>
    <row r="437" spans="1:12">
      <c r="A437">
        <v>424</v>
      </c>
      <c r="C437" t="str">
        <f>shubetsu424&amp;""</f>
        <v/>
      </c>
      <c r="D437" s="58" t="str">
        <f>billid424&amp;""</f>
        <v/>
      </c>
      <c r="E437" s="58" t="str">
        <f>UPPER(SUBSTITUTE(番明[[#This Row],[ご請求番号]],"-",""))</f>
        <v/>
      </c>
      <c r="F437" s="58" t="str">
        <f>keiyakuid424&amp;""</f>
        <v/>
      </c>
      <c r="I437" t="str">
        <f>IF(accelikkatsu424="","希望しない",accelikkatsu424)</f>
        <v>希望しない</v>
      </c>
      <c r="J437" t="str">
        <f>IF(belugabunyn424="","なし",belugabunyn424)</f>
        <v>なし</v>
      </c>
      <c r="K437" s="59" t="str">
        <f>belugabun424&amp;""</f>
        <v/>
      </c>
      <c r="L437" t="b">
        <f>shutoku424</f>
        <v>0</v>
      </c>
    </row>
    <row r="438" spans="1:12">
      <c r="A438">
        <v>425</v>
      </c>
      <c r="C438" t="str">
        <f>shubetsu425&amp;""</f>
        <v/>
      </c>
      <c r="D438" s="58" t="str">
        <f>billid425&amp;""</f>
        <v/>
      </c>
      <c r="E438" s="58" t="str">
        <f>UPPER(SUBSTITUTE(番明[[#This Row],[ご請求番号]],"-",""))</f>
        <v/>
      </c>
      <c r="F438" s="58" t="str">
        <f>keiyakuid425&amp;""</f>
        <v/>
      </c>
      <c r="I438" t="str">
        <f>IF(accelikkatsu425="","希望しない",accelikkatsu425)</f>
        <v>希望しない</v>
      </c>
      <c r="J438" t="str">
        <f>IF(belugabunyn425="","なし",belugabunyn425)</f>
        <v>なし</v>
      </c>
      <c r="K438" s="59" t="str">
        <f>belugabun425&amp;""</f>
        <v/>
      </c>
      <c r="L438" t="b">
        <f>shutoku425</f>
        <v>0</v>
      </c>
    </row>
    <row r="439" spans="1:12">
      <c r="A439">
        <v>426</v>
      </c>
      <c r="C439" t="str">
        <f>shubetsu426&amp;""</f>
        <v/>
      </c>
      <c r="D439" s="58" t="str">
        <f>billid426&amp;""</f>
        <v/>
      </c>
      <c r="E439" s="58" t="str">
        <f>UPPER(SUBSTITUTE(番明[[#This Row],[ご請求番号]],"-",""))</f>
        <v/>
      </c>
      <c r="F439" s="58" t="str">
        <f>keiyakuid426&amp;""</f>
        <v/>
      </c>
      <c r="I439" t="str">
        <f>IF(accelikkatsu426="","希望しない",accelikkatsu426)</f>
        <v>希望しない</v>
      </c>
      <c r="J439" t="str">
        <f>IF(belugabunyn426="","なし",belugabunyn426)</f>
        <v>なし</v>
      </c>
      <c r="K439" s="59" t="str">
        <f>belugabun426&amp;""</f>
        <v/>
      </c>
      <c r="L439" t="b">
        <f>shutoku426</f>
        <v>0</v>
      </c>
    </row>
    <row r="440" spans="1:12">
      <c r="A440">
        <v>427</v>
      </c>
      <c r="C440" t="str">
        <f>shubetsu427&amp;""</f>
        <v/>
      </c>
      <c r="D440" s="58" t="str">
        <f>billid427&amp;""</f>
        <v/>
      </c>
      <c r="E440" s="58" t="str">
        <f>UPPER(SUBSTITUTE(番明[[#This Row],[ご請求番号]],"-",""))</f>
        <v/>
      </c>
      <c r="F440" s="58" t="str">
        <f>keiyakuid427&amp;""</f>
        <v/>
      </c>
      <c r="I440" t="str">
        <f>IF(accelikkatsu427="","希望しない",accelikkatsu427)</f>
        <v>希望しない</v>
      </c>
      <c r="J440" t="str">
        <f>IF(belugabunyn427="","なし",belugabunyn427)</f>
        <v>なし</v>
      </c>
      <c r="K440" s="59" t="str">
        <f>belugabun427&amp;""</f>
        <v/>
      </c>
      <c r="L440" t="b">
        <f>shutoku427</f>
        <v>0</v>
      </c>
    </row>
    <row r="441" spans="1:12">
      <c r="A441">
        <v>428</v>
      </c>
      <c r="C441" t="str">
        <f>shubetsu428&amp;""</f>
        <v/>
      </c>
      <c r="D441" s="58" t="str">
        <f>billid428&amp;""</f>
        <v/>
      </c>
      <c r="E441" s="58" t="str">
        <f>UPPER(SUBSTITUTE(番明[[#This Row],[ご請求番号]],"-",""))</f>
        <v/>
      </c>
      <c r="F441" s="58" t="str">
        <f>keiyakuid428&amp;""</f>
        <v/>
      </c>
      <c r="I441" t="str">
        <f>IF(accelikkatsu428="","希望しない",accelikkatsu428)</f>
        <v>希望しない</v>
      </c>
      <c r="J441" t="str">
        <f>IF(belugabunyn428="","なし",belugabunyn428)</f>
        <v>なし</v>
      </c>
      <c r="K441" s="59" t="str">
        <f>belugabun428&amp;""</f>
        <v/>
      </c>
      <c r="L441" t="b">
        <f>shutoku428</f>
        <v>0</v>
      </c>
    </row>
    <row r="442" spans="1:12">
      <c r="A442">
        <v>429</v>
      </c>
      <c r="C442" t="str">
        <f>shubetsu429&amp;""</f>
        <v/>
      </c>
      <c r="D442" s="58" t="str">
        <f>billid429&amp;""</f>
        <v/>
      </c>
      <c r="E442" s="58" t="str">
        <f>UPPER(SUBSTITUTE(番明[[#This Row],[ご請求番号]],"-",""))</f>
        <v/>
      </c>
      <c r="F442" s="58" t="str">
        <f>keiyakuid429&amp;""</f>
        <v/>
      </c>
      <c r="I442" t="str">
        <f>IF(accelikkatsu429="","希望しない",accelikkatsu429)</f>
        <v>希望しない</v>
      </c>
      <c r="J442" t="str">
        <f>IF(belugabunyn429="","なし",belugabunyn429)</f>
        <v>なし</v>
      </c>
      <c r="K442" s="59" t="str">
        <f>belugabun429&amp;""</f>
        <v/>
      </c>
      <c r="L442" t="b">
        <f>shutoku429</f>
        <v>0</v>
      </c>
    </row>
    <row r="443" spans="1:12">
      <c r="A443">
        <v>430</v>
      </c>
      <c r="C443" t="str">
        <f>shubetsu430&amp;""</f>
        <v/>
      </c>
      <c r="D443" s="58" t="str">
        <f>billid430&amp;""</f>
        <v/>
      </c>
      <c r="E443" s="58" t="str">
        <f>UPPER(SUBSTITUTE(番明[[#This Row],[ご請求番号]],"-",""))</f>
        <v/>
      </c>
      <c r="F443" s="58" t="str">
        <f>keiyakuid430&amp;""</f>
        <v/>
      </c>
      <c r="I443" t="str">
        <f>IF(accelikkatsu430="","希望しない",accelikkatsu430)</f>
        <v>希望しない</v>
      </c>
      <c r="J443" t="str">
        <f>IF(belugabunyn430="","なし",belugabunyn430)</f>
        <v>なし</v>
      </c>
      <c r="K443" s="59" t="str">
        <f>belugabun430&amp;""</f>
        <v/>
      </c>
      <c r="L443" t="b">
        <f>shutoku430</f>
        <v>0</v>
      </c>
    </row>
    <row r="444" spans="1:12">
      <c r="A444">
        <v>431</v>
      </c>
      <c r="C444" t="str">
        <f>shubetsu431&amp;""</f>
        <v/>
      </c>
      <c r="D444" s="58" t="str">
        <f>billid431&amp;""</f>
        <v/>
      </c>
      <c r="E444" s="58" t="str">
        <f>UPPER(SUBSTITUTE(番明[[#This Row],[ご請求番号]],"-",""))</f>
        <v/>
      </c>
      <c r="F444" s="58" t="str">
        <f>keiyakuid431&amp;""</f>
        <v/>
      </c>
      <c r="I444" t="str">
        <f>IF(accelikkatsu431="","希望しない",accelikkatsu431)</f>
        <v>希望しない</v>
      </c>
      <c r="J444" t="str">
        <f>IF(belugabunyn431="","なし",belugabunyn431)</f>
        <v>なし</v>
      </c>
      <c r="K444" s="59" t="str">
        <f>belugabun431&amp;""</f>
        <v/>
      </c>
      <c r="L444" t="b">
        <f>shutoku431</f>
        <v>0</v>
      </c>
    </row>
    <row r="445" spans="1:12">
      <c r="A445">
        <v>432</v>
      </c>
      <c r="C445" t="str">
        <f>shubetsu432&amp;""</f>
        <v/>
      </c>
      <c r="D445" s="58" t="str">
        <f>billid432&amp;""</f>
        <v/>
      </c>
      <c r="E445" s="58" t="str">
        <f>UPPER(SUBSTITUTE(番明[[#This Row],[ご請求番号]],"-",""))</f>
        <v/>
      </c>
      <c r="F445" s="58" t="str">
        <f>keiyakuid432&amp;""</f>
        <v/>
      </c>
      <c r="I445" t="str">
        <f>IF(accelikkatsu432="","希望しない",accelikkatsu432)</f>
        <v>希望しない</v>
      </c>
      <c r="J445" t="str">
        <f>IF(belugabunyn432="","なし",belugabunyn432)</f>
        <v>なし</v>
      </c>
      <c r="K445" s="59" t="str">
        <f>belugabun432&amp;""</f>
        <v/>
      </c>
      <c r="L445" t="b">
        <f>shutoku432</f>
        <v>0</v>
      </c>
    </row>
    <row r="446" spans="1:12">
      <c r="A446">
        <v>433</v>
      </c>
      <c r="C446" t="str">
        <f>shubetsu433&amp;""</f>
        <v/>
      </c>
      <c r="D446" s="58" t="str">
        <f>billid433&amp;""</f>
        <v/>
      </c>
      <c r="E446" s="58" t="str">
        <f>UPPER(SUBSTITUTE(番明[[#This Row],[ご請求番号]],"-",""))</f>
        <v/>
      </c>
      <c r="F446" s="58" t="str">
        <f>keiyakuid433&amp;""</f>
        <v/>
      </c>
      <c r="I446" t="str">
        <f>IF(accelikkatsu433="","希望しない",accelikkatsu433)</f>
        <v>希望しない</v>
      </c>
      <c r="J446" t="str">
        <f>IF(belugabunyn433="","なし",belugabunyn433)</f>
        <v>なし</v>
      </c>
      <c r="K446" s="59" t="str">
        <f>belugabun433&amp;""</f>
        <v/>
      </c>
      <c r="L446" t="b">
        <f>shutoku433</f>
        <v>0</v>
      </c>
    </row>
    <row r="447" spans="1:12">
      <c r="A447">
        <v>434</v>
      </c>
      <c r="C447" t="str">
        <f>shubetsu434&amp;""</f>
        <v/>
      </c>
      <c r="D447" s="58" t="str">
        <f>billid434&amp;""</f>
        <v/>
      </c>
      <c r="E447" s="58" t="str">
        <f>UPPER(SUBSTITUTE(番明[[#This Row],[ご請求番号]],"-",""))</f>
        <v/>
      </c>
      <c r="F447" s="58" t="str">
        <f>keiyakuid434&amp;""</f>
        <v/>
      </c>
      <c r="I447" t="str">
        <f>IF(accelikkatsu434="","希望しない",accelikkatsu434)</f>
        <v>希望しない</v>
      </c>
      <c r="J447" t="str">
        <f>IF(belugabunyn434="","なし",belugabunyn434)</f>
        <v>なし</v>
      </c>
      <c r="K447" s="59" t="str">
        <f>belugabun434&amp;""</f>
        <v/>
      </c>
      <c r="L447" t="b">
        <f>shutoku434</f>
        <v>0</v>
      </c>
    </row>
    <row r="448" spans="1:12">
      <c r="A448">
        <v>435</v>
      </c>
      <c r="C448" t="str">
        <f>shubetsu435&amp;""</f>
        <v/>
      </c>
      <c r="D448" s="58" t="str">
        <f>billid435&amp;""</f>
        <v/>
      </c>
      <c r="E448" s="58" t="str">
        <f>UPPER(SUBSTITUTE(番明[[#This Row],[ご請求番号]],"-",""))</f>
        <v/>
      </c>
      <c r="F448" s="58" t="str">
        <f>keiyakuid435&amp;""</f>
        <v/>
      </c>
      <c r="I448" t="str">
        <f>IF(accelikkatsu435="","希望しない",accelikkatsu435)</f>
        <v>希望しない</v>
      </c>
      <c r="J448" t="str">
        <f>IF(belugabunyn435="","なし",belugabunyn435)</f>
        <v>なし</v>
      </c>
      <c r="K448" s="59" t="str">
        <f>belugabun435&amp;""</f>
        <v/>
      </c>
      <c r="L448" t="b">
        <f>shutoku435</f>
        <v>0</v>
      </c>
    </row>
    <row r="449" spans="1:12">
      <c r="A449">
        <v>436</v>
      </c>
      <c r="C449" t="str">
        <f>shubetsu436&amp;""</f>
        <v/>
      </c>
      <c r="D449" s="58" t="str">
        <f>billid436&amp;""</f>
        <v/>
      </c>
      <c r="E449" s="58" t="str">
        <f>UPPER(SUBSTITUTE(番明[[#This Row],[ご請求番号]],"-",""))</f>
        <v/>
      </c>
      <c r="F449" s="58" t="str">
        <f>keiyakuid436&amp;""</f>
        <v/>
      </c>
      <c r="I449" t="str">
        <f>IF(accelikkatsu436="","希望しない",accelikkatsu436)</f>
        <v>希望しない</v>
      </c>
      <c r="J449" t="str">
        <f>IF(belugabunyn436="","なし",belugabunyn436)</f>
        <v>なし</v>
      </c>
      <c r="K449" s="59" t="str">
        <f>belugabun436&amp;""</f>
        <v/>
      </c>
      <c r="L449" t="b">
        <f>shutoku436</f>
        <v>0</v>
      </c>
    </row>
    <row r="450" spans="1:12">
      <c r="A450">
        <v>437</v>
      </c>
      <c r="C450" t="str">
        <f>shubetsu437&amp;""</f>
        <v/>
      </c>
      <c r="D450" s="58" t="str">
        <f>billid437&amp;""</f>
        <v/>
      </c>
      <c r="E450" s="58" t="str">
        <f>UPPER(SUBSTITUTE(番明[[#This Row],[ご請求番号]],"-",""))</f>
        <v/>
      </c>
      <c r="F450" s="58" t="str">
        <f>keiyakuid437&amp;""</f>
        <v/>
      </c>
      <c r="I450" t="str">
        <f>IF(accelikkatsu437="","希望しない",accelikkatsu437)</f>
        <v>希望しない</v>
      </c>
      <c r="J450" t="str">
        <f>IF(belugabunyn437="","なし",belugabunyn437)</f>
        <v>なし</v>
      </c>
      <c r="K450" s="59" t="str">
        <f>belugabun437&amp;""</f>
        <v/>
      </c>
      <c r="L450" t="b">
        <f>shutoku437</f>
        <v>0</v>
      </c>
    </row>
    <row r="451" spans="1:12">
      <c r="A451">
        <v>438</v>
      </c>
      <c r="C451" t="str">
        <f>shubetsu438&amp;""</f>
        <v/>
      </c>
      <c r="D451" s="58" t="str">
        <f>billid438&amp;""</f>
        <v/>
      </c>
      <c r="E451" s="58" t="str">
        <f>UPPER(SUBSTITUTE(番明[[#This Row],[ご請求番号]],"-",""))</f>
        <v/>
      </c>
      <c r="F451" s="58" t="str">
        <f>keiyakuid438&amp;""</f>
        <v/>
      </c>
      <c r="I451" t="str">
        <f>IF(accelikkatsu438="","希望しない",accelikkatsu438)</f>
        <v>希望しない</v>
      </c>
      <c r="J451" t="str">
        <f>IF(belugabunyn438="","なし",belugabunyn438)</f>
        <v>なし</v>
      </c>
      <c r="K451" s="59" t="str">
        <f>belugabun438&amp;""</f>
        <v/>
      </c>
      <c r="L451" t="b">
        <f>shutoku438</f>
        <v>0</v>
      </c>
    </row>
    <row r="452" spans="1:12">
      <c r="A452">
        <v>439</v>
      </c>
      <c r="C452" t="str">
        <f>shubetsu439&amp;""</f>
        <v/>
      </c>
      <c r="D452" s="58" t="str">
        <f>billid439&amp;""</f>
        <v/>
      </c>
      <c r="E452" s="58" t="str">
        <f>UPPER(SUBSTITUTE(番明[[#This Row],[ご請求番号]],"-",""))</f>
        <v/>
      </c>
      <c r="F452" s="58" t="str">
        <f>keiyakuid439&amp;""</f>
        <v/>
      </c>
      <c r="I452" t="str">
        <f>IF(accelikkatsu439="","希望しない",accelikkatsu439)</f>
        <v>希望しない</v>
      </c>
      <c r="J452" t="str">
        <f>IF(belugabunyn439="","なし",belugabunyn439)</f>
        <v>なし</v>
      </c>
      <c r="K452" s="59" t="str">
        <f>belugabun439&amp;""</f>
        <v/>
      </c>
      <c r="L452" t="b">
        <f>shutoku439</f>
        <v>0</v>
      </c>
    </row>
    <row r="453" spans="1:12">
      <c r="A453">
        <v>440</v>
      </c>
      <c r="C453" t="str">
        <f>shubetsu440&amp;""</f>
        <v/>
      </c>
      <c r="D453" s="58" t="str">
        <f>billid440&amp;""</f>
        <v/>
      </c>
      <c r="E453" s="58" t="str">
        <f>UPPER(SUBSTITUTE(番明[[#This Row],[ご請求番号]],"-",""))</f>
        <v/>
      </c>
      <c r="F453" s="58" t="str">
        <f>keiyakuid440&amp;""</f>
        <v/>
      </c>
      <c r="I453" t="str">
        <f>IF(accelikkatsu440="","希望しない",accelikkatsu440)</f>
        <v>希望しない</v>
      </c>
      <c r="J453" t="str">
        <f>IF(belugabunyn440="","なし",belugabunyn440)</f>
        <v>なし</v>
      </c>
      <c r="K453" s="59" t="str">
        <f>belugabun440&amp;""</f>
        <v/>
      </c>
      <c r="L453" t="b">
        <f>shutoku440</f>
        <v>0</v>
      </c>
    </row>
    <row r="454" spans="1:12">
      <c r="A454">
        <v>441</v>
      </c>
      <c r="C454" t="str">
        <f>shubetsu441&amp;""</f>
        <v/>
      </c>
      <c r="D454" s="58" t="str">
        <f>billid441&amp;""</f>
        <v/>
      </c>
      <c r="E454" s="58" t="str">
        <f>UPPER(SUBSTITUTE(番明[[#This Row],[ご請求番号]],"-",""))</f>
        <v/>
      </c>
      <c r="F454" s="58" t="str">
        <f>keiyakuid441&amp;""</f>
        <v/>
      </c>
      <c r="I454" t="str">
        <f>IF(accelikkatsu441="","希望しない",accelikkatsu441)</f>
        <v>希望しない</v>
      </c>
      <c r="J454" t="str">
        <f>IF(belugabunyn441="","なし",belugabunyn441)</f>
        <v>なし</v>
      </c>
      <c r="K454" s="59" t="str">
        <f>belugabun441&amp;""</f>
        <v/>
      </c>
      <c r="L454" t="b">
        <f>shutoku441</f>
        <v>0</v>
      </c>
    </row>
    <row r="455" spans="1:12">
      <c r="A455">
        <v>442</v>
      </c>
      <c r="C455" t="str">
        <f>shubetsu442&amp;""</f>
        <v/>
      </c>
      <c r="D455" s="58" t="str">
        <f>billid442&amp;""</f>
        <v/>
      </c>
      <c r="E455" s="58" t="str">
        <f>UPPER(SUBSTITUTE(番明[[#This Row],[ご請求番号]],"-",""))</f>
        <v/>
      </c>
      <c r="F455" s="58" t="str">
        <f>keiyakuid442&amp;""</f>
        <v/>
      </c>
      <c r="I455" t="str">
        <f>IF(accelikkatsu442="","希望しない",accelikkatsu442)</f>
        <v>希望しない</v>
      </c>
      <c r="J455" t="str">
        <f>IF(belugabunyn442="","なし",belugabunyn442)</f>
        <v>なし</v>
      </c>
      <c r="K455" s="59" t="str">
        <f>belugabun442&amp;""</f>
        <v/>
      </c>
      <c r="L455" t="b">
        <f>shutoku442</f>
        <v>0</v>
      </c>
    </row>
    <row r="456" spans="1:12">
      <c r="A456">
        <v>443</v>
      </c>
      <c r="C456" t="str">
        <f>shubetsu443&amp;""</f>
        <v/>
      </c>
      <c r="D456" s="58" t="str">
        <f>billid443&amp;""</f>
        <v/>
      </c>
      <c r="E456" s="58" t="str">
        <f>UPPER(SUBSTITUTE(番明[[#This Row],[ご請求番号]],"-",""))</f>
        <v/>
      </c>
      <c r="F456" s="58" t="str">
        <f>keiyakuid443&amp;""</f>
        <v/>
      </c>
      <c r="I456" t="str">
        <f>IF(accelikkatsu443="","希望しない",accelikkatsu443)</f>
        <v>希望しない</v>
      </c>
      <c r="J456" t="str">
        <f>IF(belugabunyn443="","なし",belugabunyn443)</f>
        <v>なし</v>
      </c>
      <c r="K456" s="59" t="str">
        <f>belugabun443&amp;""</f>
        <v/>
      </c>
      <c r="L456" t="b">
        <f>shutoku443</f>
        <v>0</v>
      </c>
    </row>
    <row r="457" spans="1:12">
      <c r="A457">
        <v>444</v>
      </c>
      <c r="C457" t="str">
        <f>shubetsu444&amp;""</f>
        <v/>
      </c>
      <c r="D457" s="58" t="str">
        <f>billid444&amp;""</f>
        <v/>
      </c>
      <c r="E457" s="58" t="str">
        <f>UPPER(SUBSTITUTE(番明[[#This Row],[ご請求番号]],"-",""))</f>
        <v/>
      </c>
      <c r="F457" s="58" t="str">
        <f>keiyakuid444&amp;""</f>
        <v/>
      </c>
      <c r="I457" t="str">
        <f>IF(accelikkatsu444="","希望しない",accelikkatsu444)</f>
        <v>希望しない</v>
      </c>
      <c r="J457" t="str">
        <f>IF(belugabunyn444="","なし",belugabunyn444)</f>
        <v>なし</v>
      </c>
      <c r="K457" s="59" t="str">
        <f>belugabun444&amp;""</f>
        <v/>
      </c>
      <c r="L457" t="b">
        <f>shutoku444</f>
        <v>0</v>
      </c>
    </row>
    <row r="458" spans="1:12">
      <c r="A458">
        <v>445</v>
      </c>
      <c r="C458" t="str">
        <f>shubetsu445&amp;""</f>
        <v/>
      </c>
      <c r="D458" s="58" t="str">
        <f>billid445&amp;""</f>
        <v/>
      </c>
      <c r="E458" s="58" t="str">
        <f>UPPER(SUBSTITUTE(番明[[#This Row],[ご請求番号]],"-",""))</f>
        <v/>
      </c>
      <c r="F458" s="58" t="str">
        <f>keiyakuid445&amp;""</f>
        <v/>
      </c>
      <c r="I458" t="str">
        <f>IF(accelikkatsu445="","希望しない",accelikkatsu445)</f>
        <v>希望しない</v>
      </c>
      <c r="J458" t="str">
        <f>IF(belugabunyn445="","なし",belugabunyn445)</f>
        <v>なし</v>
      </c>
      <c r="K458" s="59" t="str">
        <f>belugabun445&amp;""</f>
        <v/>
      </c>
      <c r="L458" t="b">
        <f>shutoku445</f>
        <v>0</v>
      </c>
    </row>
    <row r="459" spans="1:12">
      <c r="A459">
        <v>446</v>
      </c>
      <c r="C459" t="str">
        <f>shubetsu446&amp;""</f>
        <v/>
      </c>
      <c r="D459" s="58" t="str">
        <f>billid446&amp;""</f>
        <v/>
      </c>
      <c r="E459" s="58" t="str">
        <f>UPPER(SUBSTITUTE(番明[[#This Row],[ご請求番号]],"-",""))</f>
        <v/>
      </c>
      <c r="F459" s="58" t="str">
        <f>keiyakuid446&amp;""</f>
        <v/>
      </c>
      <c r="I459" t="str">
        <f>IF(accelikkatsu446="","希望しない",accelikkatsu446)</f>
        <v>希望しない</v>
      </c>
      <c r="J459" t="str">
        <f>IF(belugabunyn446="","なし",belugabunyn446)</f>
        <v>なし</v>
      </c>
      <c r="K459" s="59" t="str">
        <f>belugabun446&amp;""</f>
        <v/>
      </c>
      <c r="L459" t="b">
        <f>shutoku446</f>
        <v>0</v>
      </c>
    </row>
    <row r="460" spans="1:12">
      <c r="A460">
        <v>447</v>
      </c>
      <c r="C460" t="str">
        <f>shubetsu447&amp;""</f>
        <v/>
      </c>
      <c r="D460" s="58" t="str">
        <f>billid447&amp;""</f>
        <v/>
      </c>
      <c r="E460" s="58" t="str">
        <f>UPPER(SUBSTITUTE(番明[[#This Row],[ご請求番号]],"-",""))</f>
        <v/>
      </c>
      <c r="F460" s="58" t="str">
        <f>keiyakuid447&amp;""</f>
        <v/>
      </c>
      <c r="I460" t="str">
        <f>IF(accelikkatsu447="","希望しない",accelikkatsu447)</f>
        <v>希望しない</v>
      </c>
      <c r="J460" t="str">
        <f>IF(belugabunyn447="","なし",belugabunyn447)</f>
        <v>なし</v>
      </c>
      <c r="K460" s="59" t="str">
        <f>belugabun447&amp;""</f>
        <v/>
      </c>
      <c r="L460" t="b">
        <f>shutoku447</f>
        <v>0</v>
      </c>
    </row>
    <row r="461" spans="1:12">
      <c r="A461">
        <v>448</v>
      </c>
      <c r="C461" t="str">
        <f>shubetsu448&amp;""</f>
        <v/>
      </c>
      <c r="D461" s="58" t="str">
        <f>billid448&amp;""</f>
        <v/>
      </c>
      <c r="E461" s="58" t="str">
        <f>UPPER(SUBSTITUTE(番明[[#This Row],[ご請求番号]],"-",""))</f>
        <v/>
      </c>
      <c r="F461" s="58" t="str">
        <f>keiyakuid448&amp;""</f>
        <v/>
      </c>
      <c r="I461" t="str">
        <f>IF(accelikkatsu448="","希望しない",accelikkatsu448)</f>
        <v>希望しない</v>
      </c>
      <c r="J461" t="str">
        <f>IF(belugabunyn448="","なし",belugabunyn448)</f>
        <v>なし</v>
      </c>
      <c r="K461" s="59" t="str">
        <f>belugabun448&amp;""</f>
        <v/>
      </c>
      <c r="L461" t="b">
        <f>shutoku448</f>
        <v>0</v>
      </c>
    </row>
    <row r="462" spans="1:12">
      <c r="A462">
        <v>449</v>
      </c>
      <c r="C462" t="str">
        <f>shubetsu449&amp;""</f>
        <v/>
      </c>
      <c r="D462" s="58" t="str">
        <f>billid449&amp;""</f>
        <v/>
      </c>
      <c r="E462" s="58" t="str">
        <f>UPPER(SUBSTITUTE(番明[[#This Row],[ご請求番号]],"-",""))</f>
        <v/>
      </c>
      <c r="F462" s="58" t="str">
        <f>keiyakuid449&amp;""</f>
        <v/>
      </c>
      <c r="I462" t="str">
        <f>IF(accelikkatsu449="","希望しない",accelikkatsu449)</f>
        <v>希望しない</v>
      </c>
      <c r="J462" t="str">
        <f>IF(belugabunyn449="","なし",belugabunyn449)</f>
        <v>なし</v>
      </c>
      <c r="K462" s="59" t="str">
        <f>belugabun449&amp;""</f>
        <v/>
      </c>
      <c r="L462" t="b">
        <f>shutoku449</f>
        <v>0</v>
      </c>
    </row>
    <row r="463" spans="1:12">
      <c r="A463">
        <v>450</v>
      </c>
      <c r="C463" t="str">
        <f>shubetsu450&amp;""</f>
        <v/>
      </c>
      <c r="D463" s="58" t="str">
        <f>billid450&amp;""</f>
        <v/>
      </c>
      <c r="E463" s="58" t="str">
        <f>UPPER(SUBSTITUTE(番明[[#This Row],[ご請求番号]],"-",""))</f>
        <v/>
      </c>
      <c r="F463" s="58" t="str">
        <f>keiyakuid450&amp;""</f>
        <v/>
      </c>
      <c r="I463" t="str">
        <f>IF(accelikkatsu450="","希望しない",accelikkatsu450)</f>
        <v>希望しない</v>
      </c>
      <c r="J463" t="str">
        <f>IF(belugabunyn450="","なし",belugabunyn450)</f>
        <v>なし</v>
      </c>
      <c r="K463" s="59" t="str">
        <f>belugabun450&amp;""</f>
        <v/>
      </c>
      <c r="L463" t="b">
        <f>shutoku450</f>
        <v>0</v>
      </c>
    </row>
    <row r="464" spans="1:12">
      <c r="A464">
        <v>451</v>
      </c>
      <c r="C464" t="str">
        <f>shubetsu451&amp;""</f>
        <v/>
      </c>
      <c r="D464" s="58" t="str">
        <f>billid451&amp;""</f>
        <v/>
      </c>
      <c r="E464" s="58" t="str">
        <f>UPPER(SUBSTITUTE(番明[[#This Row],[ご請求番号]],"-",""))</f>
        <v/>
      </c>
      <c r="F464" s="58" t="str">
        <f>keiyakuid451&amp;""</f>
        <v/>
      </c>
      <c r="I464" t="str">
        <f>IF(accelikkatsu451="","希望しない",accelikkatsu451)</f>
        <v>希望しない</v>
      </c>
      <c r="J464" t="str">
        <f>IF(belugabunyn451="","なし",belugabunyn451)</f>
        <v>なし</v>
      </c>
      <c r="K464" s="59" t="str">
        <f>belugabun451&amp;""</f>
        <v/>
      </c>
      <c r="L464" t="b">
        <f>shutoku451</f>
        <v>0</v>
      </c>
    </row>
    <row r="465" spans="1:12">
      <c r="A465">
        <v>452</v>
      </c>
      <c r="C465" t="str">
        <f>shubetsu452&amp;""</f>
        <v/>
      </c>
      <c r="D465" s="58" t="str">
        <f>billid452&amp;""</f>
        <v/>
      </c>
      <c r="E465" s="58" t="str">
        <f>UPPER(SUBSTITUTE(番明[[#This Row],[ご請求番号]],"-",""))</f>
        <v/>
      </c>
      <c r="F465" s="58" t="str">
        <f>keiyakuid452&amp;""</f>
        <v/>
      </c>
      <c r="I465" t="str">
        <f>IF(accelikkatsu452="","希望しない",accelikkatsu452)</f>
        <v>希望しない</v>
      </c>
      <c r="J465" t="str">
        <f>IF(belugabunyn452="","なし",belugabunyn452)</f>
        <v>なし</v>
      </c>
      <c r="K465" s="59" t="str">
        <f>belugabun452&amp;""</f>
        <v/>
      </c>
      <c r="L465" t="b">
        <f>shutoku452</f>
        <v>0</v>
      </c>
    </row>
    <row r="466" spans="1:12">
      <c r="A466">
        <v>453</v>
      </c>
      <c r="C466" t="str">
        <f>shubetsu453&amp;""</f>
        <v/>
      </c>
      <c r="D466" s="58" t="str">
        <f>billid453&amp;""</f>
        <v/>
      </c>
      <c r="E466" s="58" t="str">
        <f>UPPER(SUBSTITUTE(番明[[#This Row],[ご請求番号]],"-",""))</f>
        <v/>
      </c>
      <c r="F466" s="58" t="str">
        <f>keiyakuid453&amp;""</f>
        <v/>
      </c>
      <c r="I466" t="str">
        <f>IF(accelikkatsu453="","希望しない",accelikkatsu453)</f>
        <v>希望しない</v>
      </c>
      <c r="J466" t="str">
        <f>IF(belugabunyn453="","なし",belugabunyn453)</f>
        <v>なし</v>
      </c>
      <c r="K466" s="59" t="str">
        <f>belugabun453&amp;""</f>
        <v/>
      </c>
      <c r="L466" t="b">
        <f>shutoku453</f>
        <v>0</v>
      </c>
    </row>
    <row r="467" spans="1:12">
      <c r="A467">
        <v>454</v>
      </c>
      <c r="C467" t="str">
        <f>shubetsu454&amp;""</f>
        <v/>
      </c>
      <c r="D467" s="58" t="str">
        <f>billid454&amp;""</f>
        <v/>
      </c>
      <c r="E467" s="58" t="str">
        <f>UPPER(SUBSTITUTE(番明[[#This Row],[ご請求番号]],"-",""))</f>
        <v/>
      </c>
      <c r="F467" s="58" t="str">
        <f>keiyakuid454&amp;""</f>
        <v/>
      </c>
      <c r="I467" t="str">
        <f>IF(accelikkatsu454="","希望しない",accelikkatsu454)</f>
        <v>希望しない</v>
      </c>
      <c r="J467" t="str">
        <f>IF(belugabunyn454="","なし",belugabunyn454)</f>
        <v>なし</v>
      </c>
      <c r="K467" s="59" t="str">
        <f>belugabun454&amp;""</f>
        <v/>
      </c>
      <c r="L467" t="b">
        <f>shutoku454</f>
        <v>0</v>
      </c>
    </row>
    <row r="468" spans="1:12">
      <c r="A468">
        <v>455</v>
      </c>
      <c r="C468" t="str">
        <f>shubetsu455&amp;""</f>
        <v/>
      </c>
      <c r="D468" s="58" t="str">
        <f>billid455&amp;""</f>
        <v/>
      </c>
      <c r="E468" s="58" t="str">
        <f>UPPER(SUBSTITUTE(番明[[#This Row],[ご請求番号]],"-",""))</f>
        <v/>
      </c>
      <c r="F468" s="58" t="str">
        <f>keiyakuid455&amp;""</f>
        <v/>
      </c>
      <c r="I468" t="str">
        <f>IF(accelikkatsu455="","希望しない",accelikkatsu455)</f>
        <v>希望しない</v>
      </c>
      <c r="J468" t="str">
        <f>IF(belugabunyn455="","なし",belugabunyn455)</f>
        <v>なし</v>
      </c>
      <c r="K468" s="59" t="str">
        <f>belugabun455&amp;""</f>
        <v/>
      </c>
      <c r="L468" t="b">
        <f>shutoku455</f>
        <v>0</v>
      </c>
    </row>
    <row r="469" spans="1:12">
      <c r="A469">
        <v>456</v>
      </c>
      <c r="C469" t="str">
        <f>shubetsu456&amp;""</f>
        <v/>
      </c>
      <c r="D469" s="58" t="str">
        <f>billid456&amp;""</f>
        <v/>
      </c>
      <c r="E469" s="58" t="str">
        <f>UPPER(SUBSTITUTE(番明[[#This Row],[ご請求番号]],"-",""))</f>
        <v/>
      </c>
      <c r="F469" s="58" t="str">
        <f>keiyakuid456&amp;""</f>
        <v/>
      </c>
      <c r="I469" t="str">
        <f>IF(accelikkatsu456="","希望しない",accelikkatsu456)</f>
        <v>希望しない</v>
      </c>
      <c r="J469" t="str">
        <f>IF(belugabunyn456="","なし",belugabunyn456)</f>
        <v>なし</v>
      </c>
      <c r="K469" s="59" t="str">
        <f>belugabun456&amp;""</f>
        <v/>
      </c>
      <c r="L469" t="b">
        <f>shutoku456</f>
        <v>0</v>
      </c>
    </row>
    <row r="470" spans="1:12">
      <c r="A470">
        <v>457</v>
      </c>
      <c r="C470" t="str">
        <f>shubetsu457&amp;""</f>
        <v/>
      </c>
      <c r="D470" s="58" t="str">
        <f>billid457&amp;""</f>
        <v/>
      </c>
      <c r="E470" s="58" t="str">
        <f>UPPER(SUBSTITUTE(番明[[#This Row],[ご請求番号]],"-",""))</f>
        <v/>
      </c>
      <c r="F470" s="58" t="str">
        <f>keiyakuid457&amp;""</f>
        <v/>
      </c>
      <c r="I470" t="str">
        <f>IF(accelikkatsu457="","希望しない",accelikkatsu457)</f>
        <v>希望しない</v>
      </c>
      <c r="J470" t="str">
        <f>IF(belugabunyn457="","なし",belugabunyn457)</f>
        <v>なし</v>
      </c>
      <c r="K470" s="59" t="str">
        <f>belugabun457&amp;""</f>
        <v/>
      </c>
      <c r="L470" t="b">
        <f>shutoku457</f>
        <v>0</v>
      </c>
    </row>
    <row r="471" spans="1:12">
      <c r="A471">
        <v>458</v>
      </c>
      <c r="C471" t="str">
        <f>shubetsu458&amp;""</f>
        <v/>
      </c>
      <c r="D471" s="58" t="str">
        <f>billid458&amp;""</f>
        <v/>
      </c>
      <c r="E471" s="58" t="str">
        <f>UPPER(SUBSTITUTE(番明[[#This Row],[ご請求番号]],"-",""))</f>
        <v/>
      </c>
      <c r="F471" s="58" t="str">
        <f>keiyakuid458&amp;""</f>
        <v/>
      </c>
      <c r="I471" t="str">
        <f>IF(accelikkatsu458="","希望しない",accelikkatsu458)</f>
        <v>希望しない</v>
      </c>
      <c r="J471" t="str">
        <f>IF(belugabunyn458="","なし",belugabunyn458)</f>
        <v>なし</v>
      </c>
      <c r="K471" s="59" t="str">
        <f>belugabun458&amp;""</f>
        <v/>
      </c>
      <c r="L471" t="b">
        <f>shutoku458</f>
        <v>0</v>
      </c>
    </row>
    <row r="472" spans="1:12">
      <c r="A472">
        <v>459</v>
      </c>
      <c r="C472" t="str">
        <f>shubetsu459&amp;""</f>
        <v/>
      </c>
      <c r="D472" s="58" t="str">
        <f>billid459&amp;""</f>
        <v/>
      </c>
      <c r="E472" s="58" t="str">
        <f>UPPER(SUBSTITUTE(番明[[#This Row],[ご請求番号]],"-",""))</f>
        <v/>
      </c>
      <c r="F472" s="58" t="str">
        <f>keiyakuid459&amp;""</f>
        <v/>
      </c>
      <c r="I472" t="str">
        <f>IF(accelikkatsu459="","希望しない",accelikkatsu459)</f>
        <v>希望しない</v>
      </c>
      <c r="J472" t="str">
        <f>IF(belugabunyn459="","なし",belugabunyn459)</f>
        <v>なし</v>
      </c>
      <c r="K472" s="59" t="str">
        <f>belugabun459&amp;""</f>
        <v/>
      </c>
      <c r="L472" t="b">
        <f>shutoku459</f>
        <v>0</v>
      </c>
    </row>
    <row r="473" spans="1:12">
      <c r="A473">
        <v>460</v>
      </c>
      <c r="C473" t="str">
        <f>shubetsu460&amp;""</f>
        <v/>
      </c>
      <c r="D473" s="58" t="str">
        <f>billid460&amp;""</f>
        <v/>
      </c>
      <c r="E473" s="58" t="str">
        <f>UPPER(SUBSTITUTE(番明[[#This Row],[ご請求番号]],"-",""))</f>
        <v/>
      </c>
      <c r="F473" s="58" t="str">
        <f>keiyakuid460&amp;""</f>
        <v/>
      </c>
      <c r="I473" t="str">
        <f>IF(accelikkatsu460="","希望しない",accelikkatsu460)</f>
        <v>希望しない</v>
      </c>
      <c r="J473" t="str">
        <f>IF(belugabunyn460="","なし",belugabunyn460)</f>
        <v>なし</v>
      </c>
      <c r="K473" s="59" t="str">
        <f>belugabun460&amp;""</f>
        <v/>
      </c>
      <c r="L473" t="b">
        <f>shutoku460</f>
        <v>0</v>
      </c>
    </row>
    <row r="474" spans="1:12">
      <c r="A474">
        <v>461</v>
      </c>
      <c r="C474" t="str">
        <f>shubetsu461&amp;""</f>
        <v/>
      </c>
      <c r="D474" s="58" t="str">
        <f>billid461&amp;""</f>
        <v/>
      </c>
      <c r="E474" s="58" t="str">
        <f>UPPER(SUBSTITUTE(番明[[#This Row],[ご請求番号]],"-",""))</f>
        <v/>
      </c>
      <c r="F474" s="58" t="str">
        <f>keiyakuid461&amp;""</f>
        <v/>
      </c>
      <c r="I474" t="str">
        <f>IF(accelikkatsu461="","希望しない",accelikkatsu461)</f>
        <v>希望しない</v>
      </c>
      <c r="J474" t="str">
        <f>IF(belugabunyn461="","なし",belugabunyn461)</f>
        <v>なし</v>
      </c>
      <c r="K474" s="59" t="str">
        <f>belugabun461&amp;""</f>
        <v/>
      </c>
      <c r="L474" t="b">
        <f>shutoku461</f>
        <v>0</v>
      </c>
    </row>
    <row r="475" spans="1:12">
      <c r="A475">
        <v>462</v>
      </c>
      <c r="C475" t="str">
        <f>shubetsu462&amp;""</f>
        <v/>
      </c>
      <c r="D475" s="58" t="str">
        <f>billid462&amp;""</f>
        <v/>
      </c>
      <c r="E475" s="58" t="str">
        <f>UPPER(SUBSTITUTE(番明[[#This Row],[ご請求番号]],"-",""))</f>
        <v/>
      </c>
      <c r="F475" s="58" t="str">
        <f>keiyakuid462&amp;""</f>
        <v/>
      </c>
      <c r="I475" t="str">
        <f>IF(accelikkatsu462="","希望しない",accelikkatsu462)</f>
        <v>希望しない</v>
      </c>
      <c r="J475" t="str">
        <f>IF(belugabunyn462="","なし",belugabunyn462)</f>
        <v>なし</v>
      </c>
      <c r="K475" s="59" t="str">
        <f>belugabun462&amp;""</f>
        <v/>
      </c>
      <c r="L475" t="b">
        <f>shutoku462</f>
        <v>0</v>
      </c>
    </row>
    <row r="476" spans="1:12">
      <c r="A476">
        <v>463</v>
      </c>
      <c r="C476" t="str">
        <f>shubetsu463&amp;""</f>
        <v/>
      </c>
      <c r="D476" s="58" t="str">
        <f>billid463&amp;""</f>
        <v/>
      </c>
      <c r="E476" s="58" t="str">
        <f>UPPER(SUBSTITUTE(番明[[#This Row],[ご請求番号]],"-",""))</f>
        <v/>
      </c>
      <c r="F476" s="58" t="str">
        <f>keiyakuid463&amp;""</f>
        <v/>
      </c>
      <c r="I476" t="str">
        <f>IF(accelikkatsu463="","希望しない",accelikkatsu463)</f>
        <v>希望しない</v>
      </c>
      <c r="J476" t="str">
        <f>IF(belugabunyn463="","なし",belugabunyn463)</f>
        <v>なし</v>
      </c>
      <c r="K476" s="59" t="str">
        <f>belugabun463&amp;""</f>
        <v/>
      </c>
      <c r="L476" t="b">
        <f>shutoku463</f>
        <v>0</v>
      </c>
    </row>
    <row r="477" spans="1:12">
      <c r="A477">
        <v>464</v>
      </c>
      <c r="C477" t="str">
        <f>shubetsu464&amp;""</f>
        <v/>
      </c>
      <c r="D477" s="58" t="str">
        <f>billid464&amp;""</f>
        <v/>
      </c>
      <c r="E477" s="58" t="str">
        <f>UPPER(SUBSTITUTE(番明[[#This Row],[ご請求番号]],"-",""))</f>
        <v/>
      </c>
      <c r="F477" s="58" t="str">
        <f>keiyakuid464&amp;""</f>
        <v/>
      </c>
      <c r="I477" t="str">
        <f>IF(accelikkatsu464="","希望しない",accelikkatsu464)</f>
        <v>希望しない</v>
      </c>
      <c r="J477" t="str">
        <f>IF(belugabunyn464="","なし",belugabunyn464)</f>
        <v>なし</v>
      </c>
      <c r="K477" s="59" t="str">
        <f>belugabun464&amp;""</f>
        <v/>
      </c>
      <c r="L477" t="b">
        <f>shutoku464</f>
        <v>0</v>
      </c>
    </row>
    <row r="478" spans="1:12">
      <c r="A478">
        <v>465</v>
      </c>
      <c r="C478" t="str">
        <f>shubetsu465&amp;""</f>
        <v/>
      </c>
      <c r="D478" s="58" t="str">
        <f>billid465&amp;""</f>
        <v/>
      </c>
      <c r="E478" s="58" t="str">
        <f>UPPER(SUBSTITUTE(番明[[#This Row],[ご請求番号]],"-",""))</f>
        <v/>
      </c>
      <c r="F478" s="58" t="str">
        <f>keiyakuid465&amp;""</f>
        <v/>
      </c>
      <c r="I478" t="str">
        <f>IF(accelikkatsu465="","希望しない",accelikkatsu465)</f>
        <v>希望しない</v>
      </c>
      <c r="J478" t="str">
        <f>IF(belugabunyn465="","なし",belugabunyn465)</f>
        <v>なし</v>
      </c>
      <c r="K478" s="59" t="str">
        <f>belugabun465&amp;""</f>
        <v/>
      </c>
      <c r="L478" t="b">
        <f>shutoku465</f>
        <v>0</v>
      </c>
    </row>
    <row r="479" spans="1:12">
      <c r="A479">
        <v>466</v>
      </c>
      <c r="C479" t="str">
        <f>shubetsu466&amp;""</f>
        <v/>
      </c>
      <c r="D479" s="58" t="str">
        <f>billid466&amp;""</f>
        <v/>
      </c>
      <c r="E479" s="58" t="str">
        <f>UPPER(SUBSTITUTE(番明[[#This Row],[ご請求番号]],"-",""))</f>
        <v/>
      </c>
      <c r="F479" s="58" t="str">
        <f>keiyakuid466&amp;""</f>
        <v/>
      </c>
      <c r="I479" t="str">
        <f>IF(accelikkatsu466="","希望しない",accelikkatsu466)</f>
        <v>希望しない</v>
      </c>
      <c r="J479" t="str">
        <f>IF(belugabunyn466="","なし",belugabunyn466)</f>
        <v>なし</v>
      </c>
      <c r="K479" s="59" t="str">
        <f>belugabun466&amp;""</f>
        <v/>
      </c>
      <c r="L479" t="b">
        <f>shutoku466</f>
        <v>0</v>
      </c>
    </row>
    <row r="480" spans="1:12">
      <c r="A480">
        <v>467</v>
      </c>
      <c r="C480" t="str">
        <f>shubetsu467&amp;""</f>
        <v/>
      </c>
      <c r="D480" s="58" t="str">
        <f>billid467&amp;""</f>
        <v/>
      </c>
      <c r="E480" s="58" t="str">
        <f>UPPER(SUBSTITUTE(番明[[#This Row],[ご請求番号]],"-",""))</f>
        <v/>
      </c>
      <c r="F480" s="58" t="str">
        <f>keiyakuid467&amp;""</f>
        <v/>
      </c>
      <c r="I480" t="str">
        <f>IF(accelikkatsu467="","希望しない",accelikkatsu467)</f>
        <v>希望しない</v>
      </c>
      <c r="J480" t="str">
        <f>IF(belugabunyn467="","なし",belugabunyn467)</f>
        <v>なし</v>
      </c>
      <c r="K480" s="59" t="str">
        <f>belugabun467&amp;""</f>
        <v/>
      </c>
      <c r="L480" t="b">
        <f>shutoku467</f>
        <v>0</v>
      </c>
    </row>
    <row r="481" spans="1:12">
      <c r="A481">
        <v>468</v>
      </c>
      <c r="C481" t="str">
        <f>shubetsu468&amp;""</f>
        <v/>
      </c>
      <c r="D481" s="58" t="str">
        <f>billid468&amp;""</f>
        <v/>
      </c>
      <c r="E481" s="58" t="str">
        <f>UPPER(SUBSTITUTE(番明[[#This Row],[ご請求番号]],"-",""))</f>
        <v/>
      </c>
      <c r="F481" s="58" t="str">
        <f>keiyakuid468&amp;""</f>
        <v/>
      </c>
      <c r="I481" t="str">
        <f>IF(accelikkatsu468="","希望しない",accelikkatsu468)</f>
        <v>希望しない</v>
      </c>
      <c r="J481" t="str">
        <f>IF(belugabunyn468="","なし",belugabunyn468)</f>
        <v>なし</v>
      </c>
      <c r="K481" s="59" t="str">
        <f>belugabun468&amp;""</f>
        <v/>
      </c>
      <c r="L481" t="b">
        <f>shutoku468</f>
        <v>0</v>
      </c>
    </row>
    <row r="482" spans="1:12">
      <c r="A482">
        <v>469</v>
      </c>
      <c r="C482" t="str">
        <f>shubetsu469&amp;""</f>
        <v/>
      </c>
      <c r="D482" s="58" t="str">
        <f>billid469&amp;""</f>
        <v/>
      </c>
      <c r="E482" s="58" t="str">
        <f>UPPER(SUBSTITUTE(番明[[#This Row],[ご請求番号]],"-",""))</f>
        <v/>
      </c>
      <c r="F482" s="58" t="str">
        <f>keiyakuid469&amp;""</f>
        <v/>
      </c>
      <c r="I482" t="str">
        <f>IF(accelikkatsu469="","希望しない",accelikkatsu469)</f>
        <v>希望しない</v>
      </c>
      <c r="J482" t="str">
        <f>IF(belugabunyn469="","なし",belugabunyn469)</f>
        <v>なし</v>
      </c>
      <c r="K482" s="59" t="str">
        <f>belugabun469&amp;""</f>
        <v/>
      </c>
      <c r="L482" t="b">
        <f>shutoku469</f>
        <v>0</v>
      </c>
    </row>
    <row r="483" spans="1:12">
      <c r="A483">
        <v>470</v>
      </c>
      <c r="C483" t="str">
        <f>shubetsu470&amp;""</f>
        <v/>
      </c>
      <c r="D483" s="58" t="str">
        <f>billid470&amp;""</f>
        <v/>
      </c>
      <c r="E483" s="58" t="str">
        <f>UPPER(SUBSTITUTE(番明[[#This Row],[ご請求番号]],"-",""))</f>
        <v/>
      </c>
      <c r="F483" s="58" t="str">
        <f>keiyakuid470&amp;""</f>
        <v/>
      </c>
      <c r="I483" t="str">
        <f>IF(accelikkatsu470="","希望しない",accelikkatsu470)</f>
        <v>希望しない</v>
      </c>
      <c r="J483" t="str">
        <f>IF(belugabunyn470="","なし",belugabunyn470)</f>
        <v>なし</v>
      </c>
      <c r="K483" s="59" t="str">
        <f>belugabun470&amp;""</f>
        <v/>
      </c>
      <c r="L483" t="b">
        <f>shutoku470</f>
        <v>0</v>
      </c>
    </row>
    <row r="484" spans="1:12">
      <c r="A484">
        <v>471</v>
      </c>
      <c r="C484" t="str">
        <f>shubetsu471&amp;""</f>
        <v/>
      </c>
      <c r="D484" s="58" t="str">
        <f>billid471&amp;""</f>
        <v/>
      </c>
      <c r="E484" s="58" t="str">
        <f>UPPER(SUBSTITUTE(番明[[#This Row],[ご請求番号]],"-",""))</f>
        <v/>
      </c>
      <c r="F484" s="58" t="str">
        <f>keiyakuid471&amp;""</f>
        <v/>
      </c>
      <c r="I484" t="str">
        <f>IF(accelikkatsu471="","希望しない",accelikkatsu471)</f>
        <v>希望しない</v>
      </c>
      <c r="J484" t="str">
        <f>IF(belugabunyn471="","なし",belugabunyn471)</f>
        <v>なし</v>
      </c>
      <c r="K484" s="59" t="str">
        <f>belugabun471&amp;""</f>
        <v/>
      </c>
      <c r="L484" t="b">
        <f>shutoku471</f>
        <v>0</v>
      </c>
    </row>
    <row r="485" spans="1:12">
      <c r="A485">
        <v>472</v>
      </c>
      <c r="C485" t="str">
        <f>shubetsu472&amp;""</f>
        <v/>
      </c>
      <c r="D485" s="58" t="str">
        <f>billid472&amp;""</f>
        <v/>
      </c>
      <c r="E485" s="58" t="str">
        <f>UPPER(SUBSTITUTE(番明[[#This Row],[ご請求番号]],"-",""))</f>
        <v/>
      </c>
      <c r="F485" s="58" t="str">
        <f>keiyakuid472&amp;""</f>
        <v/>
      </c>
      <c r="I485" t="str">
        <f>IF(accelikkatsu472="","希望しない",accelikkatsu472)</f>
        <v>希望しない</v>
      </c>
      <c r="J485" t="str">
        <f>IF(belugabunyn472="","なし",belugabunyn472)</f>
        <v>なし</v>
      </c>
      <c r="K485" s="59" t="str">
        <f>belugabun472&amp;""</f>
        <v/>
      </c>
      <c r="L485" t="b">
        <f>shutoku472</f>
        <v>0</v>
      </c>
    </row>
    <row r="486" spans="1:12">
      <c r="A486">
        <v>473</v>
      </c>
      <c r="C486" t="str">
        <f>shubetsu473&amp;""</f>
        <v/>
      </c>
      <c r="D486" s="58" t="str">
        <f>billid473&amp;""</f>
        <v/>
      </c>
      <c r="E486" s="58" t="str">
        <f>UPPER(SUBSTITUTE(番明[[#This Row],[ご請求番号]],"-",""))</f>
        <v/>
      </c>
      <c r="F486" s="58" t="str">
        <f>keiyakuid473&amp;""</f>
        <v/>
      </c>
      <c r="I486" t="str">
        <f>IF(accelikkatsu473="","希望しない",accelikkatsu473)</f>
        <v>希望しない</v>
      </c>
      <c r="J486" t="str">
        <f>IF(belugabunyn473="","なし",belugabunyn473)</f>
        <v>なし</v>
      </c>
      <c r="K486" s="59" t="str">
        <f>belugabun473&amp;""</f>
        <v/>
      </c>
      <c r="L486" t="b">
        <f>shutoku473</f>
        <v>0</v>
      </c>
    </row>
    <row r="487" spans="1:12">
      <c r="A487">
        <v>474</v>
      </c>
      <c r="C487" t="str">
        <f>shubetsu474&amp;""</f>
        <v/>
      </c>
      <c r="D487" s="58" t="str">
        <f>billid474&amp;""</f>
        <v/>
      </c>
      <c r="E487" s="58" t="str">
        <f>UPPER(SUBSTITUTE(番明[[#This Row],[ご請求番号]],"-",""))</f>
        <v/>
      </c>
      <c r="F487" s="58" t="str">
        <f>keiyakuid474&amp;""</f>
        <v/>
      </c>
      <c r="I487" t="str">
        <f>IF(accelikkatsu474="","希望しない",accelikkatsu474)</f>
        <v>希望しない</v>
      </c>
      <c r="J487" t="str">
        <f>IF(belugabunyn474="","なし",belugabunyn474)</f>
        <v>なし</v>
      </c>
      <c r="K487" s="59" t="str">
        <f>belugabun474&amp;""</f>
        <v/>
      </c>
      <c r="L487" t="b">
        <f>shutoku474</f>
        <v>0</v>
      </c>
    </row>
    <row r="488" spans="1:12">
      <c r="A488">
        <v>475</v>
      </c>
      <c r="C488" t="str">
        <f>shubetsu475&amp;""</f>
        <v/>
      </c>
      <c r="D488" s="58" t="str">
        <f>billid475&amp;""</f>
        <v/>
      </c>
      <c r="E488" s="58" t="str">
        <f>UPPER(SUBSTITUTE(番明[[#This Row],[ご請求番号]],"-",""))</f>
        <v/>
      </c>
      <c r="F488" s="58" t="str">
        <f>keiyakuid475&amp;""</f>
        <v/>
      </c>
      <c r="I488" t="str">
        <f>IF(accelikkatsu475="","希望しない",accelikkatsu475)</f>
        <v>希望しない</v>
      </c>
      <c r="J488" t="str">
        <f>IF(belugabunyn475="","なし",belugabunyn475)</f>
        <v>なし</v>
      </c>
      <c r="K488" s="59" t="str">
        <f>belugabun475&amp;""</f>
        <v/>
      </c>
      <c r="L488" t="b">
        <f>shutoku475</f>
        <v>0</v>
      </c>
    </row>
    <row r="489" spans="1:12">
      <c r="A489">
        <v>476</v>
      </c>
      <c r="C489" t="str">
        <f>shubetsu476&amp;""</f>
        <v/>
      </c>
      <c r="D489" s="58" t="str">
        <f>billid476&amp;""</f>
        <v/>
      </c>
      <c r="E489" s="58" t="str">
        <f>UPPER(SUBSTITUTE(番明[[#This Row],[ご請求番号]],"-",""))</f>
        <v/>
      </c>
      <c r="F489" s="58" t="str">
        <f>keiyakuid476&amp;""</f>
        <v/>
      </c>
      <c r="I489" t="str">
        <f>IF(accelikkatsu476="","希望しない",accelikkatsu476)</f>
        <v>希望しない</v>
      </c>
      <c r="J489" t="str">
        <f>IF(belugabunyn476="","なし",belugabunyn476)</f>
        <v>なし</v>
      </c>
      <c r="K489" s="59" t="str">
        <f>belugabun476&amp;""</f>
        <v/>
      </c>
      <c r="L489" t="b">
        <f>shutoku476</f>
        <v>0</v>
      </c>
    </row>
    <row r="490" spans="1:12">
      <c r="A490">
        <v>477</v>
      </c>
      <c r="C490" t="str">
        <f>shubetsu477&amp;""</f>
        <v/>
      </c>
      <c r="D490" s="58" t="str">
        <f>billid477&amp;""</f>
        <v/>
      </c>
      <c r="E490" s="58" t="str">
        <f>UPPER(SUBSTITUTE(番明[[#This Row],[ご請求番号]],"-",""))</f>
        <v/>
      </c>
      <c r="F490" s="58" t="str">
        <f>keiyakuid477&amp;""</f>
        <v/>
      </c>
      <c r="I490" t="str">
        <f>IF(accelikkatsu477="","希望しない",accelikkatsu477)</f>
        <v>希望しない</v>
      </c>
      <c r="J490" t="str">
        <f>IF(belugabunyn477="","なし",belugabunyn477)</f>
        <v>なし</v>
      </c>
      <c r="K490" s="59" t="str">
        <f>belugabun477&amp;""</f>
        <v/>
      </c>
      <c r="L490" t="b">
        <f>shutoku477</f>
        <v>0</v>
      </c>
    </row>
    <row r="491" spans="1:12">
      <c r="A491">
        <v>478</v>
      </c>
      <c r="C491" t="str">
        <f>shubetsu478&amp;""</f>
        <v/>
      </c>
      <c r="D491" s="58" t="str">
        <f>billid478&amp;""</f>
        <v/>
      </c>
      <c r="E491" s="58" t="str">
        <f>UPPER(SUBSTITUTE(番明[[#This Row],[ご請求番号]],"-",""))</f>
        <v/>
      </c>
      <c r="F491" s="58" t="str">
        <f>keiyakuid478&amp;""</f>
        <v/>
      </c>
      <c r="I491" t="str">
        <f>IF(accelikkatsu478="","希望しない",accelikkatsu478)</f>
        <v>希望しない</v>
      </c>
      <c r="J491" t="str">
        <f>IF(belugabunyn478="","なし",belugabunyn478)</f>
        <v>なし</v>
      </c>
      <c r="K491" s="59" t="str">
        <f>belugabun478&amp;""</f>
        <v/>
      </c>
      <c r="L491" t="b">
        <f>shutoku478</f>
        <v>0</v>
      </c>
    </row>
    <row r="492" spans="1:12">
      <c r="A492">
        <v>479</v>
      </c>
      <c r="C492" t="str">
        <f>shubetsu479&amp;""</f>
        <v/>
      </c>
      <c r="D492" s="58" t="str">
        <f>billid479&amp;""</f>
        <v/>
      </c>
      <c r="E492" s="58" t="str">
        <f>UPPER(SUBSTITUTE(番明[[#This Row],[ご請求番号]],"-",""))</f>
        <v/>
      </c>
      <c r="F492" s="58" t="str">
        <f>keiyakuid479&amp;""</f>
        <v/>
      </c>
      <c r="I492" t="str">
        <f>IF(accelikkatsu479="","希望しない",accelikkatsu479)</f>
        <v>希望しない</v>
      </c>
      <c r="J492" t="str">
        <f>IF(belugabunyn479="","なし",belugabunyn479)</f>
        <v>なし</v>
      </c>
      <c r="K492" s="59" t="str">
        <f>belugabun479&amp;""</f>
        <v/>
      </c>
      <c r="L492" t="b">
        <f>shutoku479</f>
        <v>0</v>
      </c>
    </row>
    <row r="493" spans="1:12">
      <c r="A493">
        <v>480</v>
      </c>
      <c r="C493" t="str">
        <f>shubetsu480&amp;""</f>
        <v/>
      </c>
      <c r="D493" s="58" t="str">
        <f>billid480&amp;""</f>
        <v/>
      </c>
      <c r="E493" s="58" t="str">
        <f>UPPER(SUBSTITUTE(番明[[#This Row],[ご請求番号]],"-",""))</f>
        <v/>
      </c>
      <c r="F493" s="58" t="str">
        <f>keiyakuid480&amp;""</f>
        <v/>
      </c>
      <c r="I493" t="str">
        <f>IF(accelikkatsu480="","希望しない",accelikkatsu480)</f>
        <v>希望しない</v>
      </c>
      <c r="J493" t="str">
        <f>IF(belugabunyn480="","なし",belugabunyn480)</f>
        <v>なし</v>
      </c>
      <c r="K493" s="59" t="str">
        <f>belugabun480&amp;""</f>
        <v/>
      </c>
      <c r="L493" t="b">
        <f>shutoku480</f>
        <v>0</v>
      </c>
    </row>
    <row r="494" spans="1:12">
      <c r="A494">
        <v>481</v>
      </c>
      <c r="C494" t="str">
        <f>shubetsu481&amp;""</f>
        <v/>
      </c>
      <c r="D494" s="58" t="str">
        <f>billid481&amp;""</f>
        <v/>
      </c>
      <c r="E494" s="58" t="str">
        <f>UPPER(SUBSTITUTE(番明[[#This Row],[ご請求番号]],"-",""))</f>
        <v/>
      </c>
      <c r="F494" s="58" t="str">
        <f>keiyakuid481&amp;""</f>
        <v/>
      </c>
      <c r="I494" t="str">
        <f>IF(accelikkatsu481="","希望しない",accelikkatsu481)</f>
        <v>希望しない</v>
      </c>
      <c r="J494" t="str">
        <f>IF(belugabunyn481="","なし",belugabunyn481)</f>
        <v>なし</v>
      </c>
      <c r="K494" s="59" t="str">
        <f>belugabun481&amp;""</f>
        <v/>
      </c>
      <c r="L494" t="b">
        <f>shutoku481</f>
        <v>0</v>
      </c>
    </row>
    <row r="495" spans="1:12">
      <c r="A495">
        <v>482</v>
      </c>
      <c r="C495" t="str">
        <f>shubetsu482&amp;""</f>
        <v/>
      </c>
      <c r="D495" s="58" t="str">
        <f>billid482&amp;""</f>
        <v/>
      </c>
      <c r="E495" s="58" t="str">
        <f>UPPER(SUBSTITUTE(番明[[#This Row],[ご請求番号]],"-",""))</f>
        <v/>
      </c>
      <c r="F495" s="58" t="str">
        <f>keiyakuid482&amp;""</f>
        <v/>
      </c>
      <c r="I495" t="str">
        <f>IF(accelikkatsu482="","希望しない",accelikkatsu482)</f>
        <v>希望しない</v>
      </c>
      <c r="J495" t="str">
        <f>IF(belugabunyn482="","なし",belugabunyn482)</f>
        <v>なし</v>
      </c>
      <c r="K495" s="59" t="str">
        <f>belugabun482&amp;""</f>
        <v/>
      </c>
      <c r="L495" t="b">
        <f>shutoku482</f>
        <v>0</v>
      </c>
    </row>
    <row r="496" spans="1:12">
      <c r="A496">
        <v>483</v>
      </c>
      <c r="C496" t="str">
        <f>shubetsu483&amp;""</f>
        <v/>
      </c>
      <c r="D496" s="58" t="str">
        <f>billid483&amp;""</f>
        <v/>
      </c>
      <c r="E496" s="58" t="str">
        <f>UPPER(SUBSTITUTE(番明[[#This Row],[ご請求番号]],"-",""))</f>
        <v/>
      </c>
      <c r="F496" s="58" t="str">
        <f>keiyakuid483&amp;""</f>
        <v/>
      </c>
      <c r="I496" t="str">
        <f>IF(accelikkatsu483="","希望しない",accelikkatsu483)</f>
        <v>希望しない</v>
      </c>
      <c r="J496" t="str">
        <f>IF(belugabunyn483="","なし",belugabunyn483)</f>
        <v>なし</v>
      </c>
      <c r="K496" s="59" t="str">
        <f>belugabun483&amp;""</f>
        <v/>
      </c>
      <c r="L496" t="b">
        <f>shutoku483</f>
        <v>0</v>
      </c>
    </row>
    <row r="497" spans="1:12">
      <c r="A497">
        <v>484</v>
      </c>
      <c r="C497" t="str">
        <f>shubetsu484&amp;""</f>
        <v/>
      </c>
      <c r="D497" s="58" t="str">
        <f>billid484&amp;""</f>
        <v/>
      </c>
      <c r="E497" s="58" t="str">
        <f>UPPER(SUBSTITUTE(番明[[#This Row],[ご請求番号]],"-",""))</f>
        <v/>
      </c>
      <c r="F497" s="58" t="str">
        <f>keiyakuid484&amp;""</f>
        <v/>
      </c>
      <c r="I497" t="str">
        <f>IF(accelikkatsu484="","希望しない",accelikkatsu484)</f>
        <v>希望しない</v>
      </c>
      <c r="J497" t="str">
        <f>IF(belugabunyn484="","なし",belugabunyn484)</f>
        <v>なし</v>
      </c>
      <c r="K497" s="59" t="str">
        <f>belugabun484&amp;""</f>
        <v/>
      </c>
      <c r="L497" t="b">
        <f>shutoku484</f>
        <v>0</v>
      </c>
    </row>
    <row r="498" spans="1:12">
      <c r="A498">
        <v>485</v>
      </c>
      <c r="C498" t="str">
        <f>shubetsu485&amp;""</f>
        <v/>
      </c>
      <c r="D498" s="58" t="str">
        <f>billid485&amp;""</f>
        <v/>
      </c>
      <c r="E498" s="58" t="str">
        <f>UPPER(SUBSTITUTE(番明[[#This Row],[ご請求番号]],"-",""))</f>
        <v/>
      </c>
      <c r="F498" s="58" t="str">
        <f>keiyakuid485&amp;""</f>
        <v/>
      </c>
      <c r="I498" t="str">
        <f>IF(accelikkatsu485="","希望しない",accelikkatsu485)</f>
        <v>希望しない</v>
      </c>
      <c r="J498" t="str">
        <f>IF(belugabunyn485="","なし",belugabunyn485)</f>
        <v>なし</v>
      </c>
      <c r="K498" s="59" t="str">
        <f>belugabun485&amp;""</f>
        <v/>
      </c>
      <c r="L498" t="b">
        <f>shutoku485</f>
        <v>0</v>
      </c>
    </row>
    <row r="499" spans="1:12">
      <c r="A499">
        <v>486</v>
      </c>
      <c r="C499" t="str">
        <f>shubetsu486&amp;""</f>
        <v/>
      </c>
      <c r="D499" s="58" t="str">
        <f>billid486&amp;""</f>
        <v/>
      </c>
      <c r="E499" s="58" t="str">
        <f>UPPER(SUBSTITUTE(番明[[#This Row],[ご請求番号]],"-",""))</f>
        <v/>
      </c>
      <c r="F499" s="58" t="str">
        <f>keiyakuid486&amp;""</f>
        <v/>
      </c>
      <c r="I499" t="str">
        <f>IF(accelikkatsu486="","希望しない",accelikkatsu486)</f>
        <v>希望しない</v>
      </c>
      <c r="J499" t="str">
        <f>IF(belugabunyn486="","なし",belugabunyn486)</f>
        <v>なし</v>
      </c>
      <c r="K499" s="59" t="str">
        <f>belugabun486&amp;""</f>
        <v/>
      </c>
      <c r="L499" t="b">
        <f>shutoku486</f>
        <v>0</v>
      </c>
    </row>
    <row r="500" spans="1:12">
      <c r="A500">
        <v>487</v>
      </c>
      <c r="C500" t="str">
        <f>shubetsu487&amp;""</f>
        <v/>
      </c>
      <c r="D500" s="58" t="str">
        <f>billid487&amp;""</f>
        <v/>
      </c>
      <c r="E500" s="58" t="str">
        <f>UPPER(SUBSTITUTE(番明[[#This Row],[ご請求番号]],"-",""))</f>
        <v/>
      </c>
      <c r="F500" s="58" t="str">
        <f>keiyakuid487&amp;""</f>
        <v/>
      </c>
      <c r="I500" t="str">
        <f>IF(accelikkatsu487="","希望しない",accelikkatsu487)</f>
        <v>希望しない</v>
      </c>
      <c r="J500" t="str">
        <f>IF(belugabunyn487="","なし",belugabunyn487)</f>
        <v>なし</v>
      </c>
      <c r="K500" s="59" t="str">
        <f>belugabun487&amp;""</f>
        <v/>
      </c>
      <c r="L500" t="b">
        <f>shutoku487</f>
        <v>0</v>
      </c>
    </row>
    <row r="501" spans="1:12">
      <c r="A501">
        <v>488</v>
      </c>
      <c r="C501" t="str">
        <f>shubetsu488&amp;""</f>
        <v/>
      </c>
      <c r="D501" s="58" t="str">
        <f>billid488&amp;""</f>
        <v/>
      </c>
      <c r="E501" s="58" t="str">
        <f>UPPER(SUBSTITUTE(番明[[#This Row],[ご請求番号]],"-",""))</f>
        <v/>
      </c>
      <c r="F501" s="58" t="str">
        <f>keiyakuid488&amp;""</f>
        <v/>
      </c>
      <c r="I501" t="str">
        <f>IF(accelikkatsu488="","希望しない",accelikkatsu488)</f>
        <v>希望しない</v>
      </c>
      <c r="J501" t="str">
        <f>IF(belugabunyn488="","なし",belugabunyn488)</f>
        <v>なし</v>
      </c>
      <c r="K501" s="59" t="str">
        <f>belugabun488&amp;""</f>
        <v/>
      </c>
      <c r="L501" t="b">
        <f>shutoku488</f>
        <v>0</v>
      </c>
    </row>
    <row r="502" spans="1:12">
      <c r="A502">
        <v>489</v>
      </c>
      <c r="C502" t="str">
        <f>shubetsu489&amp;""</f>
        <v/>
      </c>
      <c r="D502" s="58" t="str">
        <f>billid489&amp;""</f>
        <v/>
      </c>
      <c r="E502" s="58" t="str">
        <f>UPPER(SUBSTITUTE(番明[[#This Row],[ご請求番号]],"-",""))</f>
        <v/>
      </c>
      <c r="F502" s="58" t="str">
        <f>keiyakuid489&amp;""</f>
        <v/>
      </c>
      <c r="I502" t="str">
        <f>IF(accelikkatsu489="","希望しない",accelikkatsu489)</f>
        <v>希望しない</v>
      </c>
      <c r="J502" t="str">
        <f>IF(belugabunyn489="","なし",belugabunyn489)</f>
        <v>なし</v>
      </c>
      <c r="K502" s="59" t="str">
        <f>belugabun489&amp;""</f>
        <v/>
      </c>
      <c r="L502" t="b">
        <f>shutoku489</f>
        <v>0</v>
      </c>
    </row>
    <row r="503" spans="1:12">
      <c r="A503">
        <v>490</v>
      </c>
      <c r="C503" t="str">
        <f>shubetsu490&amp;""</f>
        <v/>
      </c>
      <c r="D503" s="58" t="str">
        <f>billid490&amp;""</f>
        <v/>
      </c>
      <c r="E503" s="58" t="str">
        <f>UPPER(SUBSTITUTE(番明[[#This Row],[ご請求番号]],"-",""))</f>
        <v/>
      </c>
      <c r="F503" s="58" t="str">
        <f>keiyakuid490&amp;""</f>
        <v/>
      </c>
      <c r="I503" t="str">
        <f>IF(accelikkatsu490="","希望しない",accelikkatsu490)</f>
        <v>希望しない</v>
      </c>
      <c r="J503" t="str">
        <f>IF(belugabunyn490="","なし",belugabunyn490)</f>
        <v>なし</v>
      </c>
      <c r="K503" s="59" t="str">
        <f>belugabun490&amp;""</f>
        <v/>
      </c>
      <c r="L503" t="b">
        <f>shutoku490</f>
        <v>0</v>
      </c>
    </row>
    <row r="504" spans="1:12">
      <c r="A504">
        <v>491</v>
      </c>
      <c r="C504" t="str">
        <f>shubetsu491&amp;""</f>
        <v/>
      </c>
      <c r="D504" s="58" t="str">
        <f>billid491&amp;""</f>
        <v/>
      </c>
      <c r="E504" s="58" t="str">
        <f>UPPER(SUBSTITUTE(番明[[#This Row],[ご請求番号]],"-",""))</f>
        <v/>
      </c>
      <c r="F504" s="58" t="str">
        <f>keiyakuid491&amp;""</f>
        <v/>
      </c>
      <c r="I504" t="str">
        <f>IF(accelikkatsu491="","希望しない",accelikkatsu491)</f>
        <v>希望しない</v>
      </c>
      <c r="J504" t="str">
        <f>IF(belugabunyn491="","なし",belugabunyn491)</f>
        <v>なし</v>
      </c>
      <c r="K504" s="59" t="str">
        <f>belugabun491&amp;""</f>
        <v/>
      </c>
      <c r="L504" t="b">
        <f>shutoku491</f>
        <v>0</v>
      </c>
    </row>
    <row r="505" spans="1:12">
      <c r="A505">
        <v>492</v>
      </c>
      <c r="C505" t="str">
        <f>shubetsu492&amp;""</f>
        <v/>
      </c>
      <c r="D505" s="58" t="str">
        <f>billid492&amp;""</f>
        <v/>
      </c>
      <c r="E505" s="58" t="str">
        <f>UPPER(SUBSTITUTE(番明[[#This Row],[ご請求番号]],"-",""))</f>
        <v/>
      </c>
      <c r="F505" s="58" t="str">
        <f>keiyakuid492&amp;""</f>
        <v/>
      </c>
      <c r="I505" t="str">
        <f>IF(accelikkatsu492="","希望しない",accelikkatsu492)</f>
        <v>希望しない</v>
      </c>
      <c r="J505" t="str">
        <f>IF(belugabunyn492="","なし",belugabunyn492)</f>
        <v>なし</v>
      </c>
      <c r="K505" s="59" t="str">
        <f>belugabun492&amp;""</f>
        <v/>
      </c>
      <c r="L505" t="b">
        <f>shutoku492</f>
        <v>0</v>
      </c>
    </row>
    <row r="506" spans="1:12">
      <c r="A506">
        <v>493</v>
      </c>
      <c r="C506" t="str">
        <f>shubetsu493&amp;""</f>
        <v/>
      </c>
      <c r="D506" s="58" t="str">
        <f>billid493&amp;""</f>
        <v/>
      </c>
      <c r="E506" s="58" t="str">
        <f>UPPER(SUBSTITUTE(番明[[#This Row],[ご請求番号]],"-",""))</f>
        <v/>
      </c>
      <c r="F506" s="58" t="str">
        <f>keiyakuid493&amp;""</f>
        <v/>
      </c>
      <c r="I506" t="str">
        <f>IF(accelikkatsu493="","希望しない",accelikkatsu493)</f>
        <v>希望しない</v>
      </c>
      <c r="J506" t="str">
        <f>IF(belugabunyn493="","なし",belugabunyn493)</f>
        <v>なし</v>
      </c>
      <c r="K506" s="59" t="str">
        <f>belugabun493&amp;""</f>
        <v/>
      </c>
      <c r="L506" t="b">
        <f>shutoku493</f>
        <v>0</v>
      </c>
    </row>
    <row r="507" spans="1:12">
      <c r="A507">
        <v>494</v>
      </c>
      <c r="C507" t="str">
        <f>shubetsu494&amp;""</f>
        <v/>
      </c>
      <c r="D507" s="58" t="str">
        <f>billid494&amp;""</f>
        <v/>
      </c>
      <c r="E507" s="58" t="str">
        <f>UPPER(SUBSTITUTE(番明[[#This Row],[ご請求番号]],"-",""))</f>
        <v/>
      </c>
      <c r="F507" s="58" t="str">
        <f>keiyakuid494&amp;""</f>
        <v/>
      </c>
      <c r="I507" t="str">
        <f>IF(accelikkatsu494="","希望しない",accelikkatsu494)</f>
        <v>希望しない</v>
      </c>
      <c r="J507" t="str">
        <f>IF(belugabunyn494="","なし",belugabunyn494)</f>
        <v>なし</v>
      </c>
      <c r="K507" s="59" t="str">
        <f>belugabun494&amp;""</f>
        <v/>
      </c>
      <c r="L507" t="b">
        <f>shutoku494</f>
        <v>0</v>
      </c>
    </row>
    <row r="508" spans="1:12">
      <c r="A508">
        <v>495</v>
      </c>
      <c r="C508" t="str">
        <f>shubetsu495&amp;""</f>
        <v/>
      </c>
      <c r="D508" s="58" t="str">
        <f>billid495&amp;""</f>
        <v/>
      </c>
      <c r="E508" s="58" t="str">
        <f>UPPER(SUBSTITUTE(番明[[#This Row],[ご請求番号]],"-",""))</f>
        <v/>
      </c>
      <c r="F508" s="58" t="str">
        <f>keiyakuid495&amp;""</f>
        <v/>
      </c>
      <c r="I508" t="str">
        <f>IF(accelikkatsu495="","希望しない",accelikkatsu495)</f>
        <v>希望しない</v>
      </c>
      <c r="J508" t="str">
        <f>IF(belugabunyn495="","なし",belugabunyn495)</f>
        <v>なし</v>
      </c>
      <c r="K508" s="59" t="str">
        <f>belugabun495&amp;""</f>
        <v/>
      </c>
      <c r="L508" t="b">
        <f>shutoku495</f>
        <v>0</v>
      </c>
    </row>
    <row r="509" spans="1:12">
      <c r="A509">
        <v>496</v>
      </c>
      <c r="C509" t="str">
        <f>shubetsu496&amp;""</f>
        <v/>
      </c>
      <c r="D509" s="58" t="str">
        <f>billid496&amp;""</f>
        <v/>
      </c>
      <c r="E509" s="58" t="str">
        <f>UPPER(SUBSTITUTE(番明[[#This Row],[ご請求番号]],"-",""))</f>
        <v/>
      </c>
      <c r="F509" s="58" t="str">
        <f>keiyakuid496&amp;""</f>
        <v/>
      </c>
      <c r="I509" t="str">
        <f>IF(accelikkatsu496="","希望しない",accelikkatsu496)</f>
        <v>希望しない</v>
      </c>
      <c r="J509" t="str">
        <f>IF(belugabunyn496="","なし",belugabunyn496)</f>
        <v>なし</v>
      </c>
      <c r="K509" s="59" t="str">
        <f>belugabun496&amp;""</f>
        <v/>
      </c>
      <c r="L509" t="b">
        <f>shutoku496</f>
        <v>0</v>
      </c>
    </row>
    <row r="510" spans="1:12">
      <c r="A510">
        <v>497</v>
      </c>
      <c r="C510" t="str">
        <f>shubetsu497&amp;""</f>
        <v/>
      </c>
      <c r="D510" s="58" t="str">
        <f>billid497&amp;""</f>
        <v/>
      </c>
      <c r="E510" s="58" t="str">
        <f>UPPER(SUBSTITUTE(番明[[#This Row],[ご請求番号]],"-",""))</f>
        <v/>
      </c>
      <c r="F510" s="58" t="str">
        <f>keiyakuid497&amp;""</f>
        <v/>
      </c>
      <c r="I510" t="str">
        <f>IF(accelikkatsu497="","希望しない",accelikkatsu497)</f>
        <v>希望しない</v>
      </c>
      <c r="J510" t="str">
        <f>IF(belugabunyn497="","なし",belugabunyn497)</f>
        <v>なし</v>
      </c>
      <c r="K510" s="59" t="str">
        <f>belugabun497&amp;""</f>
        <v/>
      </c>
      <c r="L510" t="b">
        <f>shutoku497</f>
        <v>0</v>
      </c>
    </row>
    <row r="511" spans="1:12">
      <c r="A511">
        <v>498</v>
      </c>
      <c r="C511" t="str">
        <f>shubetsu498&amp;""</f>
        <v/>
      </c>
      <c r="D511" s="58" t="str">
        <f>billid498&amp;""</f>
        <v/>
      </c>
      <c r="E511" s="58" t="str">
        <f>UPPER(SUBSTITUTE(番明[[#This Row],[ご請求番号]],"-",""))</f>
        <v/>
      </c>
      <c r="F511" s="58" t="str">
        <f>keiyakuid498&amp;""</f>
        <v/>
      </c>
      <c r="I511" t="str">
        <f>IF(accelikkatsu498="","希望しない",accelikkatsu498)</f>
        <v>希望しない</v>
      </c>
      <c r="J511" t="str">
        <f>IF(belugabunyn498="","なし",belugabunyn498)</f>
        <v>なし</v>
      </c>
      <c r="K511" s="59" t="str">
        <f>belugabun498&amp;""</f>
        <v/>
      </c>
      <c r="L511" t="b">
        <f>shutoku498</f>
        <v>0</v>
      </c>
    </row>
    <row r="512" spans="1:12">
      <c r="A512">
        <v>499</v>
      </c>
      <c r="C512" t="str">
        <f>shubetsu499&amp;""</f>
        <v/>
      </c>
      <c r="D512" s="58" t="str">
        <f>billid499&amp;""</f>
        <v/>
      </c>
      <c r="E512" s="58" t="str">
        <f>UPPER(SUBSTITUTE(番明[[#This Row],[ご請求番号]],"-",""))</f>
        <v/>
      </c>
      <c r="F512" s="58" t="str">
        <f>keiyakuid499&amp;""</f>
        <v/>
      </c>
      <c r="I512" t="str">
        <f>IF(accelikkatsu499="","希望しない",accelikkatsu499)</f>
        <v>希望しない</v>
      </c>
      <c r="J512" t="str">
        <f>IF(belugabunyn499="","なし",belugabunyn499)</f>
        <v>なし</v>
      </c>
      <c r="K512" s="59" t="str">
        <f>belugabun499&amp;""</f>
        <v/>
      </c>
      <c r="L512" t="b">
        <f>shutoku499</f>
        <v>0</v>
      </c>
    </row>
    <row r="513" spans="1:12">
      <c r="A513">
        <v>500</v>
      </c>
      <c r="C513" t="str">
        <f>shubetsu500&amp;""</f>
        <v/>
      </c>
      <c r="D513" s="58" t="str">
        <f>billid500&amp;""</f>
        <v/>
      </c>
      <c r="E513" s="58" t="str">
        <f>UPPER(SUBSTITUTE(番明[[#This Row],[ご請求番号]],"-",""))</f>
        <v/>
      </c>
      <c r="F513" s="58" t="str">
        <f>keiyakuid500&amp;""</f>
        <v/>
      </c>
      <c r="I513" t="str">
        <f>IF(accelikkatsu500="","希望しない",accelikkatsu500)</f>
        <v>希望しない</v>
      </c>
      <c r="J513" t="str">
        <f>IF(belugabunyn500="","なし",belugabunyn500)</f>
        <v>なし</v>
      </c>
      <c r="K513" s="59" t="str">
        <f>belugabun500&amp;""</f>
        <v/>
      </c>
      <c r="L513" t="b">
        <f>shutoku500</f>
        <v>0</v>
      </c>
    </row>
  </sheetData>
  <phoneticPr fontId="1"/>
  <pageMargins left="0.7" right="0.7" top="0.75" bottom="0.75" header="0.3" footer="0.3"/>
  <pageSetup paperSize="9" orientation="portrait" r:id="rId1"/>
  <tableParts count="4">
    <tablePart r:id="rId2"/>
    <tablePart r:id="rId3"/>
    <tablePart r:id="rId4"/>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61D28-5738-470B-B963-DDBDA7C21E6A}">
  <dimension ref="A3:A10"/>
  <sheetViews>
    <sheetView workbookViewId="0">
      <selection activeCell="Y10" sqref="Y10"/>
    </sheetView>
  </sheetViews>
  <sheetFormatPr defaultRowHeight="13.5"/>
  <cols>
    <col min="1" max="1" width="32.25" customWidth="1"/>
  </cols>
  <sheetData>
    <row r="3" spans="1:1" ht="27">
      <c r="A3" s="7" t="s">
        <v>75</v>
      </c>
    </row>
    <row r="4" spans="1:1">
      <c r="A4" t="s">
        <v>76</v>
      </c>
    </row>
    <row r="5" spans="1:1">
      <c r="A5" t="s">
        <v>77</v>
      </c>
    </row>
    <row r="8" spans="1:1">
      <c r="A8" t="s">
        <v>78</v>
      </c>
    </row>
    <row r="9" spans="1:1">
      <c r="A9" t="s">
        <v>79</v>
      </c>
    </row>
    <row r="10" spans="1:1">
      <c r="A10" t="s">
        <v>80</v>
      </c>
    </row>
  </sheetData>
  <phoneticPr fontId="1"/>
  <pageMargins left="0.7" right="0.7" top="0.75" bottom="0.75" header="0.3" footer="0.3"/>
  <pageSetup paperSize="0" orientation="portrait" horizontalDpi="0" verticalDpi="0" copies="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180F4E9C1AB8045B6C34C8F903AEFCB" ma:contentTypeVersion="20" ma:contentTypeDescription="新しいドキュメントを作成します。" ma:contentTypeScope="" ma:versionID="ce32458ced44c4a89c22ff2c0bb3ece6">
  <xsd:schema xmlns:xsd="http://www.w3.org/2001/XMLSchema" xmlns:xs="http://www.w3.org/2001/XMLSchema" xmlns:p="http://schemas.microsoft.com/office/2006/metadata/properties" xmlns:ns1="http://schemas.microsoft.com/sharepoint/v3" xmlns:ns2="a8e6cb0d-bb3d-449c-b702-58119383dc93" xmlns:ns3="737be5a6-7274-453e-8949-6b4e16d48edb" targetNamespace="http://schemas.microsoft.com/office/2006/metadata/properties" ma:root="true" ma:fieldsID="5953f4bbac1e6d1e074fc01ac997646e" ns1:_="" ns2:_="" ns3:_="">
    <xsd:import namespace="http://schemas.microsoft.com/sharepoint/v3"/>
    <xsd:import namespace="a8e6cb0d-bb3d-449c-b702-58119383dc93"/>
    <xsd:import namespace="737be5a6-7274-453e-8949-6b4e16d48ed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1:_ip_UnifiedCompliancePolicyProperties" minOccurs="0"/>
                <xsd:element ref="ns1:_ip_UnifiedCompliancePolicyUIAc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統合コンプライアンス ポリシーのプロパティ" ma:hidden="true" ma:internalName="_ip_UnifiedCompliancePolicyProperties">
      <xsd:simpleType>
        <xsd:restriction base="dms:Note"/>
      </xsd:simpleType>
    </xsd:element>
    <xsd:element name="_ip_UnifiedCompliancePolicyUIAction" ma:index="17"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e6cb0d-bb3d-449c-b702-58119383dc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37be5a6-7274-453e-8949-6b4e16d48edb" elementFormDefault="qualified">
    <xsd:import namespace="http://schemas.microsoft.com/office/2006/documentManagement/types"/>
    <xsd:import namespace="http://schemas.microsoft.com/office/infopath/2007/PartnerControls"/>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element name="TaxCatchAll" ma:index="25" nillable="true" ma:displayName="Taxonomy Catch All Column" ma:hidden="true" ma:list="{c70e338a-b464-4364-b728-cfb8235a3404}" ma:internalName="TaxCatchAll" ma:showField="CatchAllData" ma:web="737be5a6-7274-453e-8949-6b4e16d48e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37be5a6-7274-453e-8949-6b4e16d48edb" xsi:nil="true"/>
    <lcf76f155ced4ddcb4097134ff3c332f xmlns="a8e6cb0d-bb3d-449c-b702-58119383dc93">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9E41405D-18AC-4ACC-9C80-AB9A750102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e6cb0d-bb3d-449c-b702-58119383dc93"/>
    <ds:schemaRef ds:uri="737be5a6-7274-453e-8949-6b4e16d48e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E3967D-04D4-4CB9-9214-A5B8180ADFFC}">
  <ds:schemaRefs>
    <ds:schemaRef ds:uri="http://schemas.microsoft.com/sharepoint/v3/contenttype/forms"/>
  </ds:schemaRefs>
</ds:datastoreItem>
</file>

<file path=customXml/itemProps3.xml><?xml version="1.0" encoding="utf-8"?>
<ds:datastoreItem xmlns:ds="http://schemas.openxmlformats.org/officeDocument/2006/customXml" ds:itemID="{F165DA0E-77DF-4904-9FD3-B51F811B9F33}">
  <ds:schemaRefs>
    <ds:schemaRef ds:uri="http://www.w3.org/XML/1998/namespace"/>
    <ds:schemaRef ds:uri="http://schemas.microsoft.com/office/2006/documentManagement/types"/>
    <ds:schemaRef ds:uri="737be5a6-7274-453e-8949-6b4e16d48edb"/>
    <ds:schemaRef ds:uri="a8e6cb0d-bb3d-449c-b702-58119383dc93"/>
    <ds:schemaRef ds:uri="http://purl.org/dc/terms/"/>
    <ds:schemaRef ds:uri="http://purl.org/dc/dcmitype/"/>
    <ds:schemaRef ds:uri="http://schemas.microsoft.com/office/infopath/2007/PartnerControls"/>
    <ds:schemaRef ds:uri="http://purl.org/dc/elements/1.1/"/>
    <ds:schemaRef ds:uri="http://schemas.openxmlformats.org/package/2006/metadata/core-properties"/>
    <ds:schemaRef ds:uri="http://schemas.microsoft.com/sharepoint/v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3524</vt:i4>
      </vt:variant>
    </vt:vector>
  </HeadingPairs>
  <TitlesOfParts>
    <vt:vector size="3530" baseType="lpstr">
      <vt:lpstr>新規お申込書</vt:lpstr>
      <vt:lpstr>新規別紙</vt:lpstr>
      <vt:lpstr>【記載例】新規お申込書</vt:lpstr>
      <vt:lpstr>【記載例】新規別紙</vt:lpstr>
      <vt:lpstr>table（隠す）新規</vt:lpstr>
      <vt:lpstr>選択肢（隠す）新規</vt:lpstr>
      <vt:lpstr>accelikkatsu001</vt:lpstr>
      <vt:lpstr>accelikkatsu002</vt:lpstr>
      <vt:lpstr>accelikkatsu003</vt:lpstr>
      <vt:lpstr>accelikkatsu004</vt:lpstr>
      <vt:lpstr>accelikkatsu005</vt:lpstr>
      <vt:lpstr>accelikkatsu006</vt:lpstr>
      <vt:lpstr>accelikkatsu007</vt:lpstr>
      <vt:lpstr>accelikkatsu008</vt:lpstr>
      <vt:lpstr>accelikkatsu009</vt:lpstr>
      <vt:lpstr>accelikkatsu010</vt:lpstr>
      <vt:lpstr>accelikkatsu011</vt:lpstr>
      <vt:lpstr>accelikkatsu012</vt:lpstr>
      <vt:lpstr>accelikkatsu013</vt:lpstr>
      <vt:lpstr>accelikkatsu014</vt:lpstr>
      <vt:lpstr>accelikkatsu015</vt:lpstr>
      <vt:lpstr>accelikkatsu016</vt:lpstr>
      <vt:lpstr>accelikkatsu017</vt:lpstr>
      <vt:lpstr>accelikkatsu018</vt:lpstr>
      <vt:lpstr>accelikkatsu019</vt:lpstr>
      <vt:lpstr>accelikkatsu020</vt:lpstr>
      <vt:lpstr>accelikkatsu021</vt:lpstr>
      <vt:lpstr>accelikkatsu022</vt:lpstr>
      <vt:lpstr>accelikkatsu023</vt:lpstr>
      <vt:lpstr>accelikkatsu024</vt:lpstr>
      <vt:lpstr>accelikkatsu025</vt:lpstr>
      <vt:lpstr>accelikkatsu026</vt:lpstr>
      <vt:lpstr>accelikkatsu027</vt:lpstr>
      <vt:lpstr>accelikkatsu028</vt:lpstr>
      <vt:lpstr>accelikkatsu029</vt:lpstr>
      <vt:lpstr>accelikkatsu030</vt:lpstr>
      <vt:lpstr>accelikkatsu031</vt:lpstr>
      <vt:lpstr>accelikkatsu032</vt:lpstr>
      <vt:lpstr>accelikkatsu033</vt:lpstr>
      <vt:lpstr>accelikkatsu034</vt:lpstr>
      <vt:lpstr>accelikkatsu035</vt:lpstr>
      <vt:lpstr>accelikkatsu036</vt:lpstr>
      <vt:lpstr>accelikkatsu037</vt:lpstr>
      <vt:lpstr>accelikkatsu038</vt:lpstr>
      <vt:lpstr>accelikkatsu039</vt:lpstr>
      <vt:lpstr>accelikkatsu040</vt:lpstr>
      <vt:lpstr>accelikkatsu041</vt:lpstr>
      <vt:lpstr>accelikkatsu042</vt:lpstr>
      <vt:lpstr>accelikkatsu043</vt:lpstr>
      <vt:lpstr>accelikkatsu044</vt:lpstr>
      <vt:lpstr>accelikkatsu045</vt:lpstr>
      <vt:lpstr>accelikkatsu046</vt:lpstr>
      <vt:lpstr>accelikkatsu047</vt:lpstr>
      <vt:lpstr>accelikkatsu048</vt:lpstr>
      <vt:lpstr>accelikkatsu049</vt:lpstr>
      <vt:lpstr>accelikkatsu050</vt:lpstr>
      <vt:lpstr>accelikkatsu051</vt:lpstr>
      <vt:lpstr>accelikkatsu052</vt:lpstr>
      <vt:lpstr>accelikkatsu053</vt:lpstr>
      <vt:lpstr>accelikkatsu054</vt:lpstr>
      <vt:lpstr>accelikkatsu055</vt:lpstr>
      <vt:lpstr>accelikkatsu056</vt:lpstr>
      <vt:lpstr>accelikkatsu057</vt:lpstr>
      <vt:lpstr>accelikkatsu058</vt:lpstr>
      <vt:lpstr>accelikkatsu059</vt:lpstr>
      <vt:lpstr>accelikkatsu060</vt:lpstr>
      <vt:lpstr>accelikkatsu061</vt:lpstr>
      <vt:lpstr>accelikkatsu062</vt:lpstr>
      <vt:lpstr>accelikkatsu063</vt:lpstr>
      <vt:lpstr>accelikkatsu064</vt:lpstr>
      <vt:lpstr>accelikkatsu065</vt:lpstr>
      <vt:lpstr>accelikkatsu066</vt:lpstr>
      <vt:lpstr>accelikkatsu067</vt:lpstr>
      <vt:lpstr>accelikkatsu068</vt:lpstr>
      <vt:lpstr>accelikkatsu069</vt:lpstr>
      <vt:lpstr>accelikkatsu070</vt:lpstr>
      <vt:lpstr>accelikkatsu071</vt:lpstr>
      <vt:lpstr>accelikkatsu072</vt:lpstr>
      <vt:lpstr>accelikkatsu073</vt:lpstr>
      <vt:lpstr>accelikkatsu074</vt:lpstr>
      <vt:lpstr>accelikkatsu075</vt:lpstr>
      <vt:lpstr>accelikkatsu076</vt:lpstr>
      <vt:lpstr>accelikkatsu077</vt:lpstr>
      <vt:lpstr>accelikkatsu078</vt:lpstr>
      <vt:lpstr>accelikkatsu079</vt:lpstr>
      <vt:lpstr>accelikkatsu080</vt:lpstr>
      <vt:lpstr>accelikkatsu081</vt:lpstr>
      <vt:lpstr>accelikkatsu082</vt:lpstr>
      <vt:lpstr>accelikkatsu083</vt:lpstr>
      <vt:lpstr>accelikkatsu084</vt:lpstr>
      <vt:lpstr>accelikkatsu085</vt:lpstr>
      <vt:lpstr>accelikkatsu086</vt:lpstr>
      <vt:lpstr>accelikkatsu087</vt:lpstr>
      <vt:lpstr>accelikkatsu088</vt:lpstr>
      <vt:lpstr>accelikkatsu089</vt:lpstr>
      <vt:lpstr>accelikkatsu090</vt:lpstr>
      <vt:lpstr>accelikkatsu091</vt:lpstr>
      <vt:lpstr>accelikkatsu092</vt:lpstr>
      <vt:lpstr>accelikkatsu093</vt:lpstr>
      <vt:lpstr>accelikkatsu094</vt:lpstr>
      <vt:lpstr>accelikkatsu095</vt:lpstr>
      <vt:lpstr>accelikkatsu096</vt:lpstr>
      <vt:lpstr>accelikkatsu097</vt:lpstr>
      <vt:lpstr>accelikkatsu098</vt:lpstr>
      <vt:lpstr>accelikkatsu099</vt:lpstr>
      <vt:lpstr>accelikkatsu100</vt:lpstr>
      <vt:lpstr>accelikkatsu101</vt:lpstr>
      <vt:lpstr>accelikkatsu102</vt:lpstr>
      <vt:lpstr>accelikkatsu103</vt:lpstr>
      <vt:lpstr>accelikkatsu104</vt:lpstr>
      <vt:lpstr>accelikkatsu105</vt:lpstr>
      <vt:lpstr>accelikkatsu106</vt:lpstr>
      <vt:lpstr>accelikkatsu107</vt:lpstr>
      <vt:lpstr>accelikkatsu108</vt:lpstr>
      <vt:lpstr>accelikkatsu109</vt:lpstr>
      <vt:lpstr>accelikkatsu110</vt:lpstr>
      <vt:lpstr>accelikkatsu111</vt:lpstr>
      <vt:lpstr>accelikkatsu112</vt:lpstr>
      <vt:lpstr>accelikkatsu113</vt:lpstr>
      <vt:lpstr>accelikkatsu114</vt:lpstr>
      <vt:lpstr>accelikkatsu115</vt:lpstr>
      <vt:lpstr>accelikkatsu116</vt:lpstr>
      <vt:lpstr>accelikkatsu117</vt:lpstr>
      <vt:lpstr>accelikkatsu118</vt:lpstr>
      <vt:lpstr>accelikkatsu119</vt:lpstr>
      <vt:lpstr>accelikkatsu120</vt:lpstr>
      <vt:lpstr>accelikkatsu121</vt:lpstr>
      <vt:lpstr>accelikkatsu122</vt:lpstr>
      <vt:lpstr>accelikkatsu123</vt:lpstr>
      <vt:lpstr>accelikkatsu124</vt:lpstr>
      <vt:lpstr>accelikkatsu125</vt:lpstr>
      <vt:lpstr>accelikkatsu126</vt:lpstr>
      <vt:lpstr>accelikkatsu127</vt:lpstr>
      <vt:lpstr>accelikkatsu128</vt:lpstr>
      <vt:lpstr>accelikkatsu129</vt:lpstr>
      <vt:lpstr>accelikkatsu130</vt:lpstr>
      <vt:lpstr>accelikkatsu131</vt:lpstr>
      <vt:lpstr>accelikkatsu132</vt:lpstr>
      <vt:lpstr>accelikkatsu133</vt:lpstr>
      <vt:lpstr>accelikkatsu134</vt:lpstr>
      <vt:lpstr>accelikkatsu135</vt:lpstr>
      <vt:lpstr>accelikkatsu136</vt:lpstr>
      <vt:lpstr>accelikkatsu137</vt:lpstr>
      <vt:lpstr>accelikkatsu138</vt:lpstr>
      <vt:lpstr>accelikkatsu139</vt:lpstr>
      <vt:lpstr>accelikkatsu140</vt:lpstr>
      <vt:lpstr>accelikkatsu141</vt:lpstr>
      <vt:lpstr>accelikkatsu142</vt:lpstr>
      <vt:lpstr>accelikkatsu143</vt:lpstr>
      <vt:lpstr>accelikkatsu144</vt:lpstr>
      <vt:lpstr>accelikkatsu145</vt:lpstr>
      <vt:lpstr>accelikkatsu146</vt:lpstr>
      <vt:lpstr>accelikkatsu147</vt:lpstr>
      <vt:lpstr>accelikkatsu148</vt:lpstr>
      <vt:lpstr>accelikkatsu149</vt:lpstr>
      <vt:lpstr>accelikkatsu150</vt:lpstr>
      <vt:lpstr>accelikkatsu151</vt:lpstr>
      <vt:lpstr>accelikkatsu152</vt:lpstr>
      <vt:lpstr>accelikkatsu153</vt:lpstr>
      <vt:lpstr>accelikkatsu154</vt:lpstr>
      <vt:lpstr>accelikkatsu155</vt:lpstr>
      <vt:lpstr>accelikkatsu156</vt:lpstr>
      <vt:lpstr>accelikkatsu157</vt:lpstr>
      <vt:lpstr>accelikkatsu158</vt:lpstr>
      <vt:lpstr>accelikkatsu159</vt:lpstr>
      <vt:lpstr>accelikkatsu160</vt:lpstr>
      <vt:lpstr>accelikkatsu161</vt:lpstr>
      <vt:lpstr>accelikkatsu162</vt:lpstr>
      <vt:lpstr>accelikkatsu163</vt:lpstr>
      <vt:lpstr>accelikkatsu164</vt:lpstr>
      <vt:lpstr>accelikkatsu165</vt:lpstr>
      <vt:lpstr>accelikkatsu166</vt:lpstr>
      <vt:lpstr>accelikkatsu167</vt:lpstr>
      <vt:lpstr>accelikkatsu168</vt:lpstr>
      <vt:lpstr>accelikkatsu169</vt:lpstr>
      <vt:lpstr>accelikkatsu170</vt:lpstr>
      <vt:lpstr>accelikkatsu171</vt:lpstr>
      <vt:lpstr>accelikkatsu172</vt:lpstr>
      <vt:lpstr>accelikkatsu173</vt:lpstr>
      <vt:lpstr>accelikkatsu174</vt:lpstr>
      <vt:lpstr>accelikkatsu175</vt:lpstr>
      <vt:lpstr>accelikkatsu176</vt:lpstr>
      <vt:lpstr>accelikkatsu177</vt:lpstr>
      <vt:lpstr>accelikkatsu178</vt:lpstr>
      <vt:lpstr>accelikkatsu179</vt:lpstr>
      <vt:lpstr>accelikkatsu180</vt:lpstr>
      <vt:lpstr>accelikkatsu181</vt:lpstr>
      <vt:lpstr>accelikkatsu182</vt:lpstr>
      <vt:lpstr>accelikkatsu183</vt:lpstr>
      <vt:lpstr>accelikkatsu184</vt:lpstr>
      <vt:lpstr>accelikkatsu185</vt:lpstr>
      <vt:lpstr>accelikkatsu186</vt:lpstr>
      <vt:lpstr>accelikkatsu187</vt:lpstr>
      <vt:lpstr>accelikkatsu188</vt:lpstr>
      <vt:lpstr>accelikkatsu189</vt:lpstr>
      <vt:lpstr>accelikkatsu190</vt:lpstr>
      <vt:lpstr>accelikkatsu191</vt:lpstr>
      <vt:lpstr>accelikkatsu192</vt:lpstr>
      <vt:lpstr>accelikkatsu193</vt:lpstr>
      <vt:lpstr>accelikkatsu194</vt:lpstr>
      <vt:lpstr>accelikkatsu195</vt:lpstr>
      <vt:lpstr>accelikkatsu196</vt:lpstr>
      <vt:lpstr>accelikkatsu197</vt:lpstr>
      <vt:lpstr>accelikkatsu198</vt:lpstr>
      <vt:lpstr>accelikkatsu199</vt:lpstr>
      <vt:lpstr>accelikkatsu200</vt:lpstr>
      <vt:lpstr>accelikkatsu201</vt:lpstr>
      <vt:lpstr>accelikkatsu202</vt:lpstr>
      <vt:lpstr>accelikkatsu203</vt:lpstr>
      <vt:lpstr>accelikkatsu204</vt:lpstr>
      <vt:lpstr>accelikkatsu205</vt:lpstr>
      <vt:lpstr>accelikkatsu206</vt:lpstr>
      <vt:lpstr>accelikkatsu207</vt:lpstr>
      <vt:lpstr>accelikkatsu208</vt:lpstr>
      <vt:lpstr>accelikkatsu209</vt:lpstr>
      <vt:lpstr>accelikkatsu210</vt:lpstr>
      <vt:lpstr>accelikkatsu211</vt:lpstr>
      <vt:lpstr>accelikkatsu212</vt:lpstr>
      <vt:lpstr>accelikkatsu213</vt:lpstr>
      <vt:lpstr>accelikkatsu214</vt:lpstr>
      <vt:lpstr>accelikkatsu215</vt:lpstr>
      <vt:lpstr>accelikkatsu216</vt:lpstr>
      <vt:lpstr>accelikkatsu217</vt:lpstr>
      <vt:lpstr>accelikkatsu218</vt:lpstr>
      <vt:lpstr>accelikkatsu219</vt:lpstr>
      <vt:lpstr>accelikkatsu220</vt:lpstr>
      <vt:lpstr>accelikkatsu221</vt:lpstr>
      <vt:lpstr>accelikkatsu222</vt:lpstr>
      <vt:lpstr>accelikkatsu223</vt:lpstr>
      <vt:lpstr>accelikkatsu224</vt:lpstr>
      <vt:lpstr>accelikkatsu225</vt:lpstr>
      <vt:lpstr>accelikkatsu226</vt:lpstr>
      <vt:lpstr>accelikkatsu227</vt:lpstr>
      <vt:lpstr>accelikkatsu228</vt:lpstr>
      <vt:lpstr>accelikkatsu229</vt:lpstr>
      <vt:lpstr>accelikkatsu230</vt:lpstr>
      <vt:lpstr>accelikkatsu231</vt:lpstr>
      <vt:lpstr>accelikkatsu232</vt:lpstr>
      <vt:lpstr>accelikkatsu233</vt:lpstr>
      <vt:lpstr>accelikkatsu234</vt:lpstr>
      <vt:lpstr>accelikkatsu235</vt:lpstr>
      <vt:lpstr>accelikkatsu236</vt:lpstr>
      <vt:lpstr>accelikkatsu237</vt:lpstr>
      <vt:lpstr>accelikkatsu238</vt:lpstr>
      <vt:lpstr>accelikkatsu239</vt:lpstr>
      <vt:lpstr>accelikkatsu240</vt:lpstr>
      <vt:lpstr>accelikkatsu241</vt:lpstr>
      <vt:lpstr>accelikkatsu242</vt:lpstr>
      <vt:lpstr>accelikkatsu243</vt:lpstr>
      <vt:lpstr>accelikkatsu244</vt:lpstr>
      <vt:lpstr>accelikkatsu245</vt:lpstr>
      <vt:lpstr>accelikkatsu246</vt:lpstr>
      <vt:lpstr>accelikkatsu247</vt:lpstr>
      <vt:lpstr>accelikkatsu248</vt:lpstr>
      <vt:lpstr>accelikkatsu249</vt:lpstr>
      <vt:lpstr>accelikkatsu250</vt:lpstr>
      <vt:lpstr>accelikkatsu251</vt:lpstr>
      <vt:lpstr>accelikkatsu252</vt:lpstr>
      <vt:lpstr>accelikkatsu253</vt:lpstr>
      <vt:lpstr>accelikkatsu254</vt:lpstr>
      <vt:lpstr>accelikkatsu255</vt:lpstr>
      <vt:lpstr>accelikkatsu256</vt:lpstr>
      <vt:lpstr>accelikkatsu257</vt:lpstr>
      <vt:lpstr>accelikkatsu258</vt:lpstr>
      <vt:lpstr>accelikkatsu259</vt:lpstr>
      <vt:lpstr>accelikkatsu260</vt:lpstr>
      <vt:lpstr>accelikkatsu261</vt:lpstr>
      <vt:lpstr>accelikkatsu262</vt:lpstr>
      <vt:lpstr>accelikkatsu263</vt:lpstr>
      <vt:lpstr>accelikkatsu264</vt:lpstr>
      <vt:lpstr>accelikkatsu265</vt:lpstr>
      <vt:lpstr>accelikkatsu266</vt:lpstr>
      <vt:lpstr>accelikkatsu267</vt:lpstr>
      <vt:lpstr>accelikkatsu268</vt:lpstr>
      <vt:lpstr>accelikkatsu269</vt:lpstr>
      <vt:lpstr>accelikkatsu270</vt:lpstr>
      <vt:lpstr>accelikkatsu271</vt:lpstr>
      <vt:lpstr>accelikkatsu272</vt:lpstr>
      <vt:lpstr>accelikkatsu273</vt:lpstr>
      <vt:lpstr>accelikkatsu274</vt:lpstr>
      <vt:lpstr>accelikkatsu275</vt:lpstr>
      <vt:lpstr>accelikkatsu276</vt:lpstr>
      <vt:lpstr>accelikkatsu277</vt:lpstr>
      <vt:lpstr>accelikkatsu278</vt:lpstr>
      <vt:lpstr>accelikkatsu279</vt:lpstr>
      <vt:lpstr>accelikkatsu280</vt:lpstr>
      <vt:lpstr>accelikkatsu281</vt:lpstr>
      <vt:lpstr>accelikkatsu282</vt:lpstr>
      <vt:lpstr>accelikkatsu283</vt:lpstr>
      <vt:lpstr>accelikkatsu284</vt:lpstr>
      <vt:lpstr>accelikkatsu285</vt:lpstr>
      <vt:lpstr>accelikkatsu286</vt:lpstr>
      <vt:lpstr>accelikkatsu287</vt:lpstr>
      <vt:lpstr>accelikkatsu288</vt:lpstr>
      <vt:lpstr>accelikkatsu289</vt:lpstr>
      <vt:lpstr>accelikkatsu290</vt:lpstr>
      <vt:lpstr>accelikkatsu291</vt:lpstr>
      <vt:lpstr>accelikkatsu292</vt:lpstr>
      <vt:lpstr>accelikkatsu293</vt:lpstr>
      <vt:lpstr>accelikkatsu294</vt:lpstr>
      <vt:lpstr>accelikkatsu295</vt:lpstr>
      <vt:lpstr>accelikkatsu296</vt:lpstr>
      <vt:lpstr>accelikkatsu297</vt:lpstr>
      <vt:lpstr>accelikkatsu298</vt:lpstr>
      <vt:lpstr>accelikkatsu299</vt:lpstr>
      <vt:lpstr>accelikkatsu300</vt:lpstr>
      <vt:lpstr>accelikkatsu301</vt:lpstr>
      <vt:lpstr>accelikkatsu302</vt:lpstr>
      <vt:lpstr>accelikkatsu303</vt:lpstr>
      <vt:lpstr>accelikkatsu304</vt:lpstr>
      <vt:lpstr>accelikkatsu305</vt:lpstr>
      <vt:lpstr>accelikkatsu306</vt:lpstr>
      <vt:lpstr>accelikkatsu307</vt:lpstr>
      <vt:lpstr>accelikkatsu308</vt:lpstr>
      <vt:lpstr>accelikkatsu309</vt:lpstr>
      <vt:lpstr>accelikkatsu310</vt:lpstr>
      <vt:lpstr>accelikkatsu311</vt:lpstr>
      <vt:lpstr>accelikkatsu312</vt:lpstr>
      <vt:lpstr>accelikkatsu313</vt:lpstr>
      <vt:lpstr>accelikkatsu314</vt:lpstr>
      <vt:lpstr>accelikkatsu315</vt:lpstr>
      <vt:lpstr>accelikkatsu316</vt:lpstr>
      <vt:lpstr>accelikkatsu317</vt:lpstr>
      <vt:lpstr>accelikkatsu318</vt:lpstr>
      <vt:lpstr>accelikkatsu319</vt:lpstr>
      <vt:lpstr>accelikkatsu320</vt:lpstr>
      <vt:lpstr>accelikkatsu321</vt:lpstr>
      <vt:lpstr>accelikkatsu322</vt:lpstr>
      <vt:lpstr>accelikkatsu323</vt:lpstr>
      <vt:lpstr>accelikkatsu324</vt:lpstr>
      <vt:lpstr>accelikkatsu325</vt:lpstr>
      <vt:lpstr>accelikkatsu326</vt:lpstr>
      <vt:lpstr>accelikkatsu327</vt:lpstr>
      <vt:lpstr>accelikkatsu328</vt:lpstr>
      <vt:lpstr>accelikkatsu329</vt:lpstr>
      <vt:lpstr>accelikkatsu330</vt:lpstr>
      <vt:lpstr>accelikkatsu331</vt:lpstr>
      <vt:lpstr>accelikkatsu332</vt:lpstr>
      <vt:lpstr>accelikkatsu333</vt:lpstr>
      <vt:lpstr>accelikkatsu334</vt:lpstr>
      <vt:lpstr>accelikkatsu335</vt:lpstr>
      <vt:lpstr>accelikkatsu336</vt:lpstr>
      <vt:lpstr>accelikkatsu337</vt:lpstr>
      <vt:lpstr>accelikkatsu338</vt:lpstr>
      <vt:lpstr>accelikkatsu339</vt:lpstr>
      <vt:lpstr>accelikkatsu340</vt:lpstr>
      <vt:lpstr>accelikkatsu341</vt:lpstr>
      <vt:lpstr>accelikkatsu342</vt:lpstr>
      <vt:lpstr>accelikkatsu343</vt:lpstr>
      <vt:lpstr>accelikkatsu344</vt:lpstr>
      <vt:lpstr>accelikkatsu345</vt:lpstr>
      <vt:lpstr>accelikkatsu346</vt:lpstr>
      <vt:lpstr>accelikkatsu347</vt:lpstr>
      <vt:lpstr>accelikkatsu348</vt:lpstr>
      <vt:lpstr>accelikkatsu349</vt:lpstr>
      <vt:lpstr>accelikkatsu350</vt:lpstr>
      <vt:lpstr>accelikkatsu351</vt:lpstr>
      <vt:lpstr>accelikkatsu352</vt:lpstr>
      <vt:lpstr>accelikkatsu353</vt:lpstr>
      <vt:lpstr>accelikkatsu354</vt:lpstr>
      <vt:lpstr>accelikkatsu355</vt:lpstr>
      <vt:lpstr>accelikkatsu356</vt:lpstr>
      <vt:lpstr>accelikkatsu357</vt:lpstr>
      <vt:lpstr>accelikkatsu358</vt:lpstr>
      <vt:lpstr>accelikkatsu359</vt:lpstr>
      <vt:lpstr>accelikkatsu360</vt:lpstr>
      <vt:lpstr>accelikkatsu361</vt:lpstr>
      <vt:lpstr>accelikkatsu362</vt:lpstr>
      <vt:lpstr>accelikkatsu363</vt:lpstr>
      <vt:lpstr>accelikkatsu364</vt:lpstr>
      <vt:lpstr>accelikkatsu365</vt:lpstr>
      <vt:lpstr>accelikkatsu366</vt:lpstr>
      <vt:lpstr>accelikkatsu367</vt:lpstr>
      <vt:lpstr>accelikkatsu368</vt:lpstr>
      <vt:lpstr>accelikkatsu369</vt:lpstr>
      <vt:lpstr>accelikkatsu370</vt:lpstr>
      <vt:lpstr>accelikkatsu371</vt:lpstr>
      <vt:lpstr>accelikkatsu372</vt:lpstr>
      <vt:lpstr>accelikkatsu373</vt:lpstr>
      <vt:lpstr>accelikkatsu374</vt:lpstr>
      <vt:lpstr>accelikkatsu375</vt:lpstr>
      <vt:lpstr>accelikkatsu376</vt:lpstr>
      <vt:lpstr>accelikkatsu377</vt:lpstr>
      <vt:lpstr>accelikkatsu378</vt:lpstr>
      <vt:lpstr>accelikkatsu379</vt:lpstr>
      <vt:lpstr>accelikkatsu380</vt:lpstr>
      <vt:lpstr>accelikkatsu381</vt:lpstr>
      <vt:lpstr>accelikkatsu382</vt:lpstr>
      <vt:lpstr>accelikkatsu383</vt:lpstr>
      <vt:lpstr>accelikkatsu384</vt:lpstr>
      <vt:lpstr>accelikkatsu385</vt:lpstr>
      <vt:lpstr>accelikkatsu386</vt:lpstr>
      <vt:lpstr>accelikkatsu387</vt:lpstr>
      <vt:lpstr>accelikkatsu388</vt:lpstr>
      <vt:lpstr>accelikkatsu389</vt:lpstr>
      <vt:lpstr>accelikkatsu390</vt:lpstr>
      <vt:lpstr>accelikkatsu391</vt:lpstr>
      <vt:lpstr>accelikkatsu392</vt:lpstr>
      <vt:lpstr>accelikkatsu393</vt:lpstr>
      <vt:lpstr>accelikkatsu394</vt:lpstr>
      <vt:lpstr>accelikkatsu395</vt:lpstr>
      <vt:lpstr>accelikkatsu396</vt:lpstr>
      <vt:lpstr>accelikkatsu397</vt:lpstr>
      <vt:lpstr>accelikkatsu398</vt:lpstr>
      <vt:lpstr>accelikkatsu399</vt:lpstr>
      <vt:lpstr>accelikkatsu400</vt:lpstr>
      <vt:lpstr>accelikkatsu401</vt:lpstr>
      <vt:lpstr>accelikkatsu402</vt:lpstr>
      <vt:lpstr>accelikkatsu403</vt:lpstr>
      <vt:lpstr>accelikkatsu404</vt:lpstr>
      <vt:lpstr>accelikkatsu405</vt:lpstr>
      <vt:lpstr>accelikkatsu406</vt:lpstr>
      <vt:lpstr>accelikkatsu407</vt:lpstr>
      <vt:lpstr>accelikkatsu408</vt:lpstr>
      <vt:lpstr>accelikkatsu409</vt:lpstr>
      <vt:lpstr>accelikkatsu410</vt:lpstr>
      <vt:lpstr>accelikkatsu411</vt:lpstr>
      <vt:lpstr>accelikkatsu412</vt:lpstr>
      <vt:lpstr>accelikkatsu413</vt:lpstr>
      <vt:lpstr>accelikkatsu414</vt:lpstr>
      <vt:lpstr>accelikkatsu415</vt:lpstr>
      <vt:lpstr>accelikkatsu416</vt:lpstr>
      <vt:lpstr>accelikkatsu417</vt:lpstr>
      <vt:lpstr>accelikkatsu418</vt:lpstr>
      <vt:lpstr>accelikkatsu419</vt:lpstr>
      <vt:lpstr>accelikkatsu420</vt:lpstr>
      <vt:lpstr>accelikkatsu421</vt:lpstr>
      <vt:lpstr>accelikkatsu422</vt:lpstr>
      <vt:lpstr>accelikkatsu423</vt:lpstr>
      <vt:lpstr>accelikkatsu424</vt:lpstr>
      <vt:lpstr>accelikkatsu425</vt:lpstr>
      <vt:lpstr>accelikkatsu426</vt:lpstr>
      <vt:lpstr>accelikkatsu427</vt:lpstr>
      <vt:lpstr>accelikkatsu428</vt:lpstr>
      <vt:lpstr>accelikkatsu429</vt:lpstr>
      <vt:lpstr>accelikkatsu430</vt:lpstr>
      <vt:lpstr>accelikkatsu431</vt:lpstr>
      <vt:lpstr>accelikkatsu432</vt:lpstr>
      <vt:lpstr>accelikkatsu433</vt:lpstr>
      <vt:lpstr>accelikkatsu434</vt:lpstr>
      <vt:lpstr>accelikkatsu435</vt:lpstr>
      <vt:lpstr>accelikkatsu436</vt:lpstr>
      <vt:lpstr>accelikkatsu437</vt:lpstr>
      <vt:lpstr>accelikkatsu438</vt:lpstr>
      <vt:lpstr>accelikkatsu439</vt:lpstr>
      <vt:lpstr>accelikkatsu440</vt:lpstr>
      <vt:lpstr>accelikkatsu441</vt:lpstr>
      <vt:lpstr>accelikkatsu442</vt:lpstr>
      <vt:lpstr>accelikkatsu443</vt:lpstr>
      <vt:lpstr>accelikkatsu444</vt:lpstr>
      <vt:lpstr>accelikkatsu445</vt:lpstr>
      <vt:lpstr>accelikkatsu446</vt:lpstr>
      <vt:lpstr>accelikkatsu447</vt:lpstr>
      <vt:lpstr>accelikkatsu448</vt:lpstr>
      <vt:lpstr>accelikkatsu449</vt:lpstr>
      <vt:lpstr>accelikkatsu450</vt:lpstr>
      <vt:lpstr>accelikkatsu451</vt:lpstr>
      <vt:lpstr>accelikkatsu452</vt:lpstr>
      <vt:lpstr>accelikkatsu453</vt:lpstr>
      <vt:lpstr>accelikkatsu454</vt:lpstr>
      <vt:lpstr>accelikkatsu455</vt:lpstr>
      <vt:lpstr>accelikkatsu456</vt:lpstr>
      <vt:lpstr>accelikkatsu457</vt:lpstr>
      <vt:lpstr>accelikkatsu458</vt:lpstr>
      <vt:lpstr>accelikkatsu459</vt:lpstr>
      <vt:lpstr>accelikkatsu460</vt:lpstr>
      <vt:lpstr>accelikkatsu461</vt:lpstr>
      <vt:lpstr>accelikkatsu462</vt:lpstr>
      <vt:lpstr>accelikkatsu463</vt:lpstr>
      <vt:lpstr>accelikkatsu464</vt:lpstr>
      <vt:lpstr>accelikkatsu465</vt:lpstr>
      <vt:lpstr>accelikkatsu466</vt:lpstr>
      <vt:lpstr>accelikkatsu467</vt:lpstr>
      <vt:lpstr>accelikkatsu468</vt:lpstr>
      <vt:lpstr>accelikkatsu469</vt:lpstr>
      <vt:lpstr>accelikkatsu470</vt:lpstr>
      <vt:lpstr>accelikkatsu471</vt:lpstr>
      <vt:lpstr>accelikkatsu472</vt:lpstr>
      <vt:lpstr>accelikkatsu473</vt:lpstr>
      <vt:lpstr>accelikkatsu474</vt:lpstr>
      <vt:lpstr>accelikkatsu475</vt:lpstr>
      <vt:lpstr>accelikkatsu476</vt:lpstr>
      <vt:lpstr>accelikkatsu477</vt:lpstr>
      <vt:lpstr>accelikkatsu478</vt:lpstr>
      <vt:lpstr>accelikkatsu479</vt:lpstr>
      <vt:lpstr>accelikkatsu480</vt:lpstr>
      <vt:lpstr>accelikkatsu481</vt:lpstr>
      <vt:lpstr>accelikkatsu482</vt:lpstr>
      <vt:lpstr>accelikkatsu483</vt:lpstr>
      <vt:lpstr>accelikkatsu484</vt:lpstr>
      <vt:lpstr>accelikkatsu485</vt:lpstr>
      <vt:lpstr>accelikkatsu486</vt:lpstr>
      <vt:lpstr>accelikkatsu487</vt:lpstr>
      <vt:lpstr>accelikkatsu488</vt:lpstr>
      <vt:lpstr>accelikkatsu489</vt:lpstr>
      <vt:lpstr>accelikkatsu490</vt:lpstr>
      <vt:lpstr>accelikkatsu491</vt:lpstr>
      <vt:lpstr>accelikkatsu492</vt:lpstr>
      <vt:lpstr>accelikkatsu493</vt:lpstr>
      <vt:lpstr>accelikkatsu494</vt:lpstr>
      <vt:lpstr>accelikkatsu495</vt:lpstr>
      <vt:lpstr>accelikkatsu496</vt:lpstr>
      <vt:lpstr>accelikkatsu497</vt:lpstr>
      <vt:lpstr>accelikkatsu498</vt:lpstr>
      <vt:lpstr>accelikkatsu499</vt:lpstr>
      <vt:lpstr>accelikkatsu500</vt:lpstr>
      <vt:lpstr>applicationArrivalDate</vt:lpstr>
      <vt:lpstr>belugabun001</vt:lpstr>
      <vt:lpstr>belugabun002</vt:lpstr>
      <vt:lpstr>belugabun003</vt:lpstr>
      <vt:lpstr>belugabun004</vt:lpstr>
      <vt:lpstr>belugabun005</vt:lpstr>
      <vt:lpstr>belugabun006</vt:lpstr>
      <vt:lpstr>belugabun007</vt:lpstr>
      <vt:lpstr>belugabun008</vt:lpstr>
      <vt:lpstr>belugabun009</vt:lpstr>
      <vt:lpstr>belugabun010</vt:lpstr>
      <vt:lpstr>belugabun011</vt:lpstr>
      <vt:lpstr>belugabun012</vt:lpstr>
      <vt:lpstr>belugabun013</vt:lpstr>
      <vt:lpstr>belugabun014</vt:lpstr>
      <vt:lpstr>belugabun015</vt:lpstr>
      <vt:lpstr>belugabun016</vt:lpstr>
      <vt:lpstr>belugabun017</vt:lpstr>
      <vt:lpstr>belugabun018</vt:lpstr>
      <vt:lpstr>belugabun019</vt:lpstr>
      <vt:lpstr>belugabun020</vt:lpstr>
      <vt:lpstr>belugabun021</vt:lpstr>
      <vt:lpstr>belugabun022</vt:lpstr>
      <vt:lpstr>belugabun023</vt:lpstr>
      <vt:lpstr>belugabun024</vt:lpstr>
      <vt:lpstr>belugabun025</vt:lpstr>
      <vt:lpstr>belugabun026</vt:lpstr>
      <vt:lpstr>belugabun027</vt:lpstr>
      <vt:lpstr>belugabun028</vt:lpstr>
      <vt:lpstr>belugabun029</vt:lpstr>
      <vt:lpstr>belugabun030</vt:lpstr>
      <vt:lpstr>belugabun031</vt:lpstr>
      <vt:lpstr>belugabun032</vt:lpstr>
      <vt:lpstr>belugabun033</vt:lpstr>
      <vt:lpstr>belugabun034</vt:lpstr>
      <vt:lpstr>belugabun035</vt:lpstr>
      <vt:lpstr>belugabun036</vt:lpstr>
      <vt:lpstr>belugabun037</vt:lpstr>
      <vt:lpstr>belugabun038</vt:lpstr>
      <vt:lpstr>belugabun039</vt:lpstr>
      <vt:lpstr>belugabun040</vt:lpstr>
      <vt:lpstr>belugabun041</vt:lpstr>
      <vt:lpstr>belugabun042</vt:lpstr>
      <vt:lpstr>belugabun043</vt:lpstr>
      <vt:lpstr>belugabun044</vt:lpstr>
      <vt:lpstr>belugabun045</vt:lpstr>
      <vt:lpstr>belugabun046</vt:lpstr>
      <vt:lpstr>belugabun047</vt:lpstr>
      <vt:lpstr>belugabun048</vt:lpstr>
      <vt:lpstr>belugabun049</vt:lpstr>
      <vt:lpstr>belugabun050</vt:lpstr>
      <vt:lpstr>belugabun051</vt:lpstr>
      <vt:lpstr>belugabun052</vt:lpstr>
      <vt:lpstr>belugabun053</vt:lpstr>
      <vt:lpstr>belugabun054</vt:lpstr>
      <vt:lpstr>belugabun055</vt:lpstr>
      <vt:lpstr>belugabun056</vt:lpstr>
      <vt:lpstr>belugabun057</vt:lpstr>
      <vt:lpstr>belugabun058</vt:lpstr>
      <vt:lpstr>belugabun059</vt:lpstr>
      <vt:lpstr>belugabun060</vt:lpstr>
      <vt:lpstr>belugabun061</vt:lpstr>
      <vt:lpstr>belugabun062</vt:lpstr>
      <vt:lpstr>belugabun063</vt:lpstr>
      <vt:lpstr>belugabun064</vt:lpstr>
      <vt:lpstr>belugabun065</vt:lpstr>
      <vt:lpstr>belugabun066</vt:lpstr>
      <vt:lpstr>belugabun067</vt:lpstr>
      <vt:lpstr>belugabun068</vt:lpstr>
      <vt:lpstr>belugabun069</vt:lpstr>
      <vt:lpstr>belugabun070</vt:lpstr>
      <vt:lpstr>belugabun071</vt:lpstr>
      <vt:lpstr>belugabun072</vt:lpstr>
      <vt:lpstr>belugabun073</vt:lpstr>
      <vt:lpstr>belugabun074</vt:lpstr>
      <vt:lpstr>belugabun075</vt:lpstr>
      <vt:lpstr>belugabun076</vt:lpstr>
      <vt:lpstr>belugabun077</vt:lpstr>
      <vt:lpstr>belugabun078</vt:lpstr>
      <vt:lpstr>belugabun079</vt:lpstr>
      <vt:lpstr>belugabun080</vt:lpstr>
      <vt:lpstr>belugabun081</vt:lpstr>
      <vt:lpstr>belugabun082</vt:lpstr>
      <vt:lpstr>belugabun083</vt:lpstr>
      <vt:lpstr>belugabun084</vt:lpstr>
      <vt:lpstr>belugabun085</vt:lpstr>
      <vt:lpstr>belugabun086</vt:lpstr>
      <vt:lpstr>belugabun087</vt:lpstr>
      <vt:lpstr>belugabun088</vt:lpstr>
      <vt:lpstr>belugabun089</vt:lpstr>
      <vt:lpstr>belugabun090</vt:lpstr>
      <vt:lpstr>belugabun091</vt:lpstr>
      <vt:lpstr>belugabun092</vt:lpstr>
      <vt:lpstr>belugabun093</vt:lpstr>
      <vt:lpstr>belugabun094</vt:lpstr>
      <vt:lpstr>belugabun095</vt:lpstr>
      <vt:lpstr>belugabun096</vt:lpstr>
      <vt:lpstr>belugabun097</vt:lpstr>
      <vt:lpstr>belugabun098</vt:lpstr>
      <vt:lpstr>belugabun099</vt:lpstr>
      <vt:lpstr>belugabun100</vt:lpstr>
      <vt:lpstr>belugabun101</vt:lpstr>
      <vt:lpstr>belugabun102</vt:lpstr>
      <vt:lpstr>belugabun103</vt:lpstr>
      <vt:lpstr>belugabun104</vt:lpstr>
      <vt:lpstr>belugabun105</vt:lpstr>
      <vt:lpstr>belugabun106</vt:lpstr>
      <vt:lpstr>belugabun107</vt:lpstr>
      <vt:lpstr>belugabun108</vt:lpstr>
      <vt:lpstr>belugabun109</vt:lpstr>
      <vt:lpstr>belugabun110</vt:lpstr>
      <vt:lpstr>belugabun111</vt:lpstr>
      <vt:lpstr>belugabun112</vt:lpstr>
      <vt:lpstr>belugabun113</vt:lpstr>
      <vt:lpstr>belugabun114</vt:lpstr>
      <vt:lpstr>belugabun115</vt:lpstr>
      <vt:lpstr>belugabun116</vt:lpstr>
      <vt:lpstr>belugabun117</vt:lpstr>
      <vt:lpstr>belugabun118</vt:lpstr>
      <vt:lpstr>belugabun119</vt:lpstr>
      <vt:lpstr>belugabun120</vt:lpstr>
      <vt:lpstr>belugabun121</vt:lpstr>
      <vt:lpstr>belugabun122</vt:lpstr>
      <vt:lpstr>belugabun123</vt:lpstr>
      <vt:lpstr>belugabun124</vt:lpstr>
      <vt:lpstr>belugabun125</vt:lpstr>
      <vt:lpstr>belugabun126</vt:lpstr>
      <vt:lpstr>belugabun127</vt:lpstr>
      <vt:lpstr>belugabun128</vt:lpstr>
      <vt:lpstr>belugabun129</vt:lpstr>
      <vt:lpstr>belugabun130</vt:lpstr>
      <vt:lpstr>belugabun131</vt:lpstr>
      <vt:lpstr>belugabun132</vt:lpstr>
      <vt:lpstr>belugabun133</vt:lpstr>
      <vt:lpstr>belugabun134</vt:lpstr>
      <vt:lpstr>belugabun135</vt:lpstr>
      <vt:lpstr>belugabun136</vt:lpstr>
      <vt:lpstr>belugabun137</vt:lpstr>
      <vt:lpstr>belugabun138</vt:lpstr>
      <vt:lpstr>belugabun139</vt:lpstr>
      <vt:lpstr>belugabun140</vt:lpstr>
      <vt:lpstr>belugabun141</vt:lpstr>
      <vt:lpstr>belugabun142</vt:lpstr>
      <vt:lpstr>belugabun143</vt:lpstr>
      <vt:lpstr>belugabun144</vt:lpstr>
      <vt:lpstr>belugabun145</vt:lpstr>
      <vt:lpstr>belugabun146</vt:lpstr>
      <vt:lpstr>belugabun147</vt:lpstr>
      <vt:lpstr>belugabun148</vt:lpstr>
      <vt:lpstr>belugabun149</vt:lpstr>
      <vt:lpstr>belugabun150</vt:lpstr>
      <vt:lpstr>belugabun151</vt:lpstr>
      <vt:lpstr>belugabun152</vt:lpstr>
      <vt:lpstr>belugabun153</vt:lpstr>
      <vt:lpstr>belugabun154</vt:lpstr>
      <vt:lpstr>belugabun155</vt:lpstr>
      <vt:lpstr>belugabun156</vt:lpstr>
      <vt:lpstr>belugabun157</vt:lpstr>
      <vt:lpstr>belugabun158</vt:lpstr>
      <vt:lpstr>belugabun159</vt:lpstr>
      <vt:lpstr>belugabun160</vt:lpstr>
      <vt:lpstr>belugabun161</vt:lpstr>
      <vt:lpstr>belugabun162</vt:lpstr>
      <vt:lpstr>belugabun163</vt:lpstr>
      <vt:lpstr>belugabun164</vt:lpstr>
      <vt:lpstr>belugabun165</vt:lpstr>
      <vt:lpstr>belugabun166</vt:lpstr>
      <vt:lpstr>belugabun167</vt:lpstr>
      <vt:lpstr>belugabun168</vt:lpstr>
      <vt:lpstr>belugabun169</vt:lpstr>
      <vt:lpstr>belugabun170</vt:lpstr>
      <vt:lpstr>belugabun171</vt:lpstr>
      <vt:lpstr>belugabun172</vt:lpstr>
      <vt:lpstr>belugabun173</vt:lpstr>
      <vt:lpstr>belugabun174</vt:lpstr>
      <vt:lpstr>belugabun175</vt:lpstr>
      <vt:lpstr>belugabun176</vt:lpstr>
      <vt:lpstr>belugabun177</vt:lpstr>
      <vt:lpstr>belugabun178</vt:lpstr>
      <vt:lpstr>belugabun179</vt:lpstr>
      <vt:lpstr>belugabun180</vt:lpstr>
      <vt:lpstr>belugabun181</vt:lpstr>
      <vt:lpstr>belugabun182</vt:lpstr>
      <vt:lpstr>belugabun183</vt:lpstr>
      <vt:lpstr>belugabun184</vt:lpstr>
      <vt:lpstr>belugabun185</vt:lpstr>
      <vt:lpstr>belugabun186</vt:lpstr>
      <vt:lpstr>belugabun187</vt:lpstr>
      <vt:lpstr>belugabun188</vt:lpstr>
      <vt:lpstr>belugabun189</vt:lpstr>
      <vt:lpstr>belugabun190</vt:lpstr>
      <vt:lpstr>belugabun191</vt:lpstr>
      <vt:lpstr>belugabun192</vt:lpstr>
      <vt:lpstr>belugabun193</vt:lpstr>
      <vt:lpstr>belugabun194</vt:lpstr>
      <vt:lpstr>belugabun195</vt:lpstr>
      <vt:lpstr>belugabun196</vt:lpstr>
      <vt:lpstr>belugabun197</vt:lpstr>
      <vt:lpstr>belugabun198</vt:lpstr>
      <vt:lpstr>belugabun199</vt:lpstr>
      <vt:lpstr>belugabun200</vt:lpstr>
      <vt:lpstr>belugabun201</vt:lpstr>
      <vt:lpstr>belugabun202</vt:lpstr>
      <vt:lpstr>belugabun203</vt:lpstr>
      <vt:lpstr>belugabun204</vt:lpstr>
      <vt:lpstr>belugabun205</vt:lpstr>
      <vt:lpstr>belugabun206</vt:lpstr>
      <vt:lpstr>belugabun207</vt:lpstr>
      <vt:lpstr>belugabun208</vt:lpstr>
      <vt:lpstr>belugabun209</vt:lpstr>
      <vt:lpstr>belugabun210</vt:lpstr>
      <vt:lpstr>belugabun211</vt:lpstr>
      <vt:lpstr>belugabun212</vt:lpstr>
      <vt:lpstr>belugabun213</vt:lpstr>
      <vt:lpstr>belugabun214</vt:lpstr>
      <vt:lpstr>belugabun215</vt:lpstr>
      <vt:lpstr>belugabun216</vt:lpstr>
      <vt:lpstr>belugabun217</vt:lpstr>
      <vt:lpstr>belugabun218</vt:lpstr>
      <vt:lpstr>belugabun219</vt:lpstr>
      <vt:lpstr>belugabun220</vt:lpstr>
      <vt:lpstr>belugabun221</vt:lpstr>
      <vt:lpstr>belugabun222</vt:lpstr>
      <vt:lpstr>belugabun223</vt:lpstr>
      <vt:lpstr>belugabun224</vt:lpstr>
      <vt:lpstr>belugabun225</vt:lpstr>
      <vt:lpstr>belugabun226</vt:lpstr>
      <vt:lpstr>belugabun227</vt:lpstr>
      <vt:lpstr>belugabun228</vt:lpstr>
      <vt:lpstr>belugabun229</vt:lpstr>
      <vt:lpstr>belugabun230</vt:lpstr>
      <vt:lpstr>belugabun231</vt:lpstr>
      <vt:lpstr>belugabun232</vt:lpstr>
      <vt:lpstr>belugabun233</vt:lpstr>
      <vt:lpstr>belugabun234</vt:lpstr>
      <vt:lpstr>belugabun235</vt:lpstr>
      <vt:lpstr>belugabun236</vt:lpstr>
      <vt:lpstr>belugabun237</vt:lpstr>
      <vt:lpstr>belugabun238</vt:lpstr>
      <vt:lpstr>belugabun239</vt:lpstr>
      <vt:lpstr>belugabun240</vt:lpstr>
      <vt:lpstr>belugabun241</vt:lpstr>
      <vt:lpstr>belugabun242</vt:lpstr>
      <vt:lpstr>belugabun243</vt:lpstr>
      <vt:lpstr>belugabun244</vt:lpstr>
      <vt:lpstr>belugabun245</vt:lpstr>
      <vt:lpstr>belugabun246</vt:lpstr>
      <vt:lpstr>belugabun247</vt:lpstr>
      <vt:lpstr>belugabun248</vt:lpstr>
      <vt:lpstr>belugabun249</vt:lpstr>
      <vt:lpstr>belugabun250</vt:lpstr>
      <vt:lpstr>belugabun251</vt:lpstr>
      <vt:lpstr>belugabun252</vt:lpstr>
      <vt:lpstr>belugabun253</vt:lpstr>
      <vt:lpstr>belugabun254</vt:lpstr>
      <vt:lpstr>belugabun255</vt:lpstr>
      <vt:lpstr>belugabun256</vt:lpstr>
      <vt:lpstr>belugabun257</vt:lpstr>
      <vt:lpstr>belugabun258</vt:lpstr>
      <vt:lpstr>belugabun259</vt:lpstr>
      <vt:lpstr>belugabun260</vt:lpstr>
      <vt:lpstr>belugabun261</vt:lpstr>
      <vt:lpstr>belugabun262</vt:lpstr>
      <vt:lpstr>belugabun263</vt:lpstr>
      <vt:lpstr>belugabun264</vt:lpstr>
      <vt:lpstr>belugabun265</vt:lpstr>
      <vt:lpstr>belugabun266</vt:lpstr>
      <vt:lpstr>belugabun267</vt:lpstr>
      <vt:lpstr>belugabun268</vt:lpstr>
      <vt:lpstr>belugabun269</vt:lpstr>
      <vt:lpstr>belugabun270</vt:lpstr>
      <vt:lpstr>belugabun271</vt:lpstr>
      <vt:lpstr>belugabun272</vt:lpstr>
      <vt:lpstr>belugabun273</vt:lpstr>
      <vt:lpstr>belugabun274</vt:lpstr>
      <vt:lpstr>belugabun275</vt:lpstr>
      <vt:lpstr>belugabun276</vt:lpstr>
      <vt:lpstr>belugabun277</vt:lpstr>
      <vt:lpstr>belugabun278</vt:lpstr>
      <vt:lpstr>belugabun279</vt:lpstr>
      <vt:lpstr>belugabun280</vt:lpstr>
      <vt:lpstr>belugabun281</vt:lpstr>
      <vt:lpstr>belugabun282</vt:lpstr>
      <vt:lpstr>belugabun283</vt:lpstr>
      <vt:lpstr>belugabun284</vt:lpstr>
      <vt:lpstr>belugabun285</vt:lpstr>
      <vt:lpstr>belugabun286</vt:lpstr>
      <vt:lpstr>belugabun287</vt:lpstr>
      <vt:lpstr>belugabun288</vt:lpstr>
      <vt:lpstr>belugabun289</vt:lpstr>
      <vt:lpstr>belugabun290</vt:lpstr>
      <vt:lpstr>belugabun291</vt:lpstr>
      <vt:lpstr>belugabun292</vt:lpstr>
      <vt:lpstr>belugabun293</vt:lpstr>
      <vt:lpstr>belugabun294</vt:lpstr>
      <vt:lpstr>belugabun295</vt:lpstr>
      <vt:lpstr>belugabun296</vt:lpstr>
      <vt:lpstr>belugabun297</vt:lpstr>
      <vt:lpstr>belugabun298</vt:lpstr>
      <vt:lpstr>belugabun299</vt:lpstr>
      <vt:lpstr>belugabun300</vt:lpstr>
      <vt:lpstr>belugabun301</vt:lpstr>
      <vt:lpstr>belugabun302</vt:lpstr>
      <vt:lpstr>belugabun303</vt:lpstr>
      <vt:lpstr>belugabun304</vt:lpstr>
      <vt:lpstr>belugabun305</vt:lpstr>
      <vt:lpstr>belugabun306</vt:lpstr>
      <vt:lpstr>belugabun307</vt:lpstr>
      <vt:lpstr>belugabun308</vt:lpstr>
      <vt:lpstr>belugabun309</vt:lpstr>
      <vt:lpstr>belugabun310</vt:lpstr>
      <vt:lpstr>belugabun311</vt:lpstr>
      <vt:lpstr>belugabun312</vt:lpstr>
      <vt:lpstr>belugabun313</vt:lpstr>
      <vt:lpstr>belugabun314</vt:lpstr>
      <vt:lpstr>belugabun315</vt:lpstr>
      <vt:lpstr>belugabun316</vt:lpstr>
      <vt:lpstr>belugabun317</vt:lpstr>
      <vt:lpstr>belugabun318</vt:lpstr>
      <vt:lpstr>belugabun319</vt:lpstr>
      <vt:lpstr>belugabun320</vt:lpstr>
      <vt:lpstr>belugabun321</vt:lpstr>
      <vt:lpstr>belugabun322</vt:lpstr>
      <vt:lpstr>belugabun323</vt:lpstr>
      <vt:lpstr>belugabun324</vt:lpstr>
      <vt:lpstr>belugabun325</vt:lpstr>
      <vt:lpstr>belugabun326</vt:lpstr>
      <vt:lpstr>belugabun327</vt:lpstr>
      <vt:lpstr>belugabun328</vt:lpstr>
      <vt:lpstr>belugabun329</vt:lpstr>
      <vt:lpstr>belugabun330</vt:lpstr>
      <vt:lpstr>belugabun331</vt:lpstr>
      <vt:lpstr>belugabun332</vt:lpstr>
      <vt:lpstr>belugabun333</vt:lpstr>
      <vt:lpstr>belugabun334</vt:lpstr>
      <vt:lpstr>belugabun335</vt:lpstr>
      <vt:lpstr>belugabun336</vt:lpstr>
      <vt:lpstr>belugabun337</vt:lpstr>
      <vt:lpstr>belugabun338</vt:lpstr>
      <vt:lpstr>belugabun339</vt:lpstr>
      <vt:lpstr>belugabun340</vt:lpstr>
      <vt:lpstr>belugabun341</vt:lpstr>
      <vt:lpstr>belugabun342</vt:lpstr>
      <vt:lpstr>belugabun343</vt:lpstr>
      <vt:lpstr>belugabun344</vt:lpstr>
      <vt:lpstr>belugabun345</vt:lpstr>
      <vt:lpstr>belugabun346</vt:lpstr>
      <vt:lpstr>belugabun347</vt:lpstr>
      <vt:lpstr>belugabun348</vt:lpstr>
      <vt:lpstr>belugabun349</vt:lpstr>
      <vt:lpstr>belugabun350</vt:lpstr>
      <vt:lpstr>belugabun351</vt:lpstr>
      <vt:lpstr>belugabun352</vt:lpstr>
      <vt:lpstr>belugabun353</vt:lpstr>
      <vt:lpstr>belugabun354</vt:lpstr>
      <vt:lpstr>belugabun355</vt:lpstr>
      <vt:lpstr>belugabun356</vt:lpstr>
      <vt:lpstr>belugabun357</vt:lpstr>
      <vt:lpstr>belugabun358</vt:lpstr>
      <vt:lpstr>belugabun359</vt:lpstr>
      <vt:lpstr>belugabun360</vt:lpstr>
      <vt:lpstr>belugabun361</vt:lpstr>
      <vt:lpstr>belugabun362</vt:lpstr>
      <vt:lpstr>belugabun363</vt:lpstr>
      <vt:lpstr>belugabun364</vt:lpstr>
      <vt:lpstr>belugabun365</vt:lpstr>
      <vt:lpstr>belugabun366</vt:lpstr>
      <vt:lpstr>belugabun367</vt:lpstr>
      <vt:lpstr>belugabun368</vt:lpstr>
      <vt:lpstr>belugabun369</vt:lpstr>
      <vt:lpstr>belugabun370</vt:lpstr>
      <vt:lpstr>belugabun371</vt:lpstr>
      <vt:lpstr>belugabun372</vt:lpstr>
      <vt:lpstr>belugabun373</vt:lpstr>
      <vt:lpstr>belugabun374</vt:lpstr>
      <vt:lpstr>belugabun375</vt:lpstr>
      <vt:lpstr>belugabun376</vt:lpstr>
      <vt:lpstr>belugabun377</vt:lpstr>
      <vt:lpstr>belugabun378</vt:lpstr>
      <vt:lpstr>belugabun379</vt:lpstr>
      <vt:lpstr>belugabun380</vt:lpstr>
      <vt:lpstr>belugabun381</vt:lpstr>
      <vt:lpstr>belugabun382</vt:lpstr>
      <vt:lpstr>belugabun383</vt:lpstr>
      <vt:lpstr>belugabun384</vt:lpstr>
      <vt:lpstr>belugabun385</vt:lpstr>
      <vt:lpstr>belugabun386</vt:lpstr>
      <vt:lpstr>belugabun387</vt:lpstr>
      <vt:lpstr>belugabun388</vt:lpstr>
      <vt:lpstr>belugabun389</vt:lpstr>
      <vt:lpstr>belugabun390</vt:lpstr>
      <vt:lpstr>belugabun391</vt:lpstr>
      <vt:lpstr>belugabun392</vt:lpstr>
      <vt:lpstr>belugabun393</vt:lpstr>
      <vt:lpstr>belugabun394</vt:lpstr>
      <vt:lpstr>belugabun395</vt:lpstr>
      <vt:lpstr>belugabun396</vt:lpstr>
      <vt:lpstr>belugabun397</vt:lpstr>
      <vt:lpstr>belugabun398</vt:lpstr>
      <vt:lpstr>belugabun399</vt:lpstr>
      <vt:lpstr>belugabun400</vt:lpstr>
      <vt:lpstr>belugabun401</vt:lpstr>
      <vt:lpstr>belugabun402</vt:lpstr>
      <vt:lpstr>belugabun403</vt:lpstr>
      <vt:lpstr>belugabun404</vt:lpstr>
      <vt:lpstr>belugabun405</vt:lpstr>
      <vt:lpstr>belugabun406</vt:lpstr>
      <vt:lpstr>belugabun407</vt:lpstr>
      <vt:lpstr>belugabun408</vt:lpstr>
      <vt:lpstr>belugabun409</vt:lpstr>
      <vt:lpstr>belugabun410</vt:lpstr>
      <vt:lpstr>belugabun411</vt:lpstr>
      <vt:lpstr>belugabun412</vt:lpstr>
      <vt:lpstr>belugabun413</vt:lpstr>
      <vt:lpstr>belugabun414</vt:lpstr>
      <vt:lpstr>belugabun415</vt:lpstr>
      <vt:lpstr>belugabun416</vt:lpstr>
      <vt:lpstr>belugabun417</vt:lpstr>
      <vt:lpstr>belugabun418</vt:lpstr>
      <vt:lpstr>belugabun419</vt:lpstr>
      <vt:lpstr>belugabun420</vt:lpstr>
      <vt:lpstr>belugabun421</vt:lpstr>
      <vt:lpstr>belugabun422</vt:lpstr>
      <vt:lpstr>belugabun423</vt:lpstr>
      <vt:lpstr>belugabun424</vt:lpstr>
      <vt:lpstr>belugabun425</vt:lpstr>
      <vt:lpstr>belugabun426</vt:lpstr>
      <vt:lpstr>belugabun427</vt:lpstr>
      <vt:lpstr>belugabun428</vt:lpstr>
      <vt:lpstr>belugabun429</vt:lpstr>
      <vt:lpstr>belugabun430</vt:lpstr>
      <vt:lpstr>belugabun431</vt:lpstr>
      <vt:lpstr>belugabun432</vt:lpstr>
      <vt:lpstr>belugabun433</vt:lpstr>
      <vt:lpstr>belugabun434</vt:lpstr>
      <vt:lpstr>belugabun435</vt:lpstr>
      <vt:lpstr>belugabun436</vt:lpstr>
      <vt:lpstr>belugabun437</vt:lpstr>
      <vt:lpstr>belugabun438</vt:lpstr>
      <vt:lpstr>belugabun439</vt:lpstr>
      <vt:lpstr>belugabun440</vt:lpstr>
      <vt:lpstr>belugabun441</vt:lpstr>
      <vt:lpstr>belugabun442</vt:lpstr>
      <vt:lpstr>belugabun443</vt:lpstr>
      <vt:lpstr>belugabun444</vt:lpstr>
      <vt:lpstr>belugabun445</vt:lpstr>
      <vt:lpstr>belugabun446</vt:lpstr>
      <vt:lpstr>belugabun447</vt:lpstr>
      <vt:lpstr>belugabun448</vt:lpstr>
      <vt:lpstr>belugabun449</vt:lpstr>
      <vt:lpstr>belugabun450</vt:lpstr>
      <vt:lpstr>belugabun451</vt:lpstr>
      <vt:lpstr>belugabun452</vt:lpstr>
      <vt:lpstr>belugabun453</vt:lpstr>
      <vt:lpstr>belugabun454</vt:lpstr>
      <vt:lpstr>belugabun455</vt:lpstr>
      <vt:lpstr>belugabun456</vt:lpstr>
      <vt:lpstr>belugabun457</vt:lpstr>
      <vt:lpstr>belugabun458</vt:lpstr>
      <vt:lpstr>belugabun459</vt:lpstr>
      <vt:lpstr>belugabun460</vt:lpstr>
      <vt:lpstr>belugabun461</vt:lpstr>
      <vt:lpstr>belugabun462</vt:lpstr>
      <vt:lpstr>belugabun463</vt:lpstr>
      <vt:lpstr>belugabun464</vt:lpstr>
      <vt:lpstr>belugabun465</vt:lpstr>
      <vt:lpstr>belugabun466</vt:lpstr>
      <vt:lpstr>belugabun467</vt:lpstr>
      <vt:lpstr>belugabun468</vt:lpstr>
      <vt:lpstr>belugabun469</vt:lpstr>
      <vt:lpstr>belugabun470</vt:lpstr>
      <vt:lpstr>belugabun471</vt:lpstr>
      <vt:lpstr>belugabun472</vt:lpstr>
      <vt:lpstr>belugabun473</vt:lpstr>
      <vt:lpstr>belugabun474</vt:lpstr>
      <vt:lpstr>belugabun475</vt:lpstr>
      <vt:lpstr>belugabun476</vt:lpstr>
      <vt:lpstr>belugabun477</vt:lpstr>
      <vt:lpstr>belugabun478</vt:lpstr>
      <vt:lpstr>belugabun479</vt:lpstr>
      <vt:lpstr>belugabun480</vt:lpstr>
      <vt:lpstr>belugabun481</vt:lpstr>
      <vt:lpstr>belugabun482</vt:lpstr>
      <vt:lpstr>belugabun483</vt:lpstr>
      <vt:lpstr>belugabun484</vt:lpstr>
      <vt:lpstr>belugabun485</vt:lpstr>
      <vt:lpstr>belugabun486</vt:lpstr>
      <vt:lpstr>belugabun487</vt:lpstr>
      <vt:lpstr>belugabun488</vt:lpstr>
      <vt:lpstr>belugabun489</vt:lpstr>
      <vt:lpstr>belugabun490</vt:lpstr>
      <vt:lpstr>belugabun491</vt:lpstr>
      <vt:lpstr>belugabun492</vt:lpstr>
      <vt:lpstr>belugabun493</vt:lpstr>
      <vt:lpstr>belugabun494</vt:lpstr>
      <vt:lpstr>belugabun495</vt:lpstr>
      <vt:lpstr>belugabun496</vt:lpstr>
      <vt:lpstr>belugabun497</vt:lpstr>
      <vt:lpstr>belugabun498</vt:lpstr>
      <vt:lpstr>belugabun499</vt:lpstr>
      <vt:lpstr>belugabun500</vt:lpstr>
      <vt:lpstr>belugabunyn001</vt:lpstr>
      <vt:lpstr>belugabunyn002</vt:lpstr>
      <vt:lpstr>belugabunyn003</vt:lpstr>
      <vt:lpstr>belugabunyn004</vt:lpstr>
      <vt:lpstr>belugabunyn005</vt:lpstr>
      <vt:lpstr>belugabunyn006</vt:lpstr>
      <vt:lpstr>belugabunyn007</vt:lpstr>
      <vt:lpstr>belugabunyn008</vt:lpstr>
      <vt:lpstr>belugabunyn009</vt:lpstr>
      <vt:lpstr>belugabunyn010</vt:lpstr>
      <vt:lpstr>belugabunyn011</vt:lpstr>
      <vt:lpstr>belugabunyn012</vt:lpstr>
      <vt:lpstr>belugabunyn013</vt:lpstr>
      <vt:lpstr>belugabunyn014</vt:lpstr>
      <vt:lpstr>belugabunyn015</vt:lpstr>
      <vt:lpstr>belugabunyn016</vt:lpstr>
      <vt:lpstr>belugabunyn017</vt:lpstr>
      <vt:lpstr>belugabunyn018</vt:lpstr>
      <vt:lpstr>belugabunyn019</vt:lpstr>
      <vt:lpstr>belugabunyn020</vt:lpstr>
      <vt:lpstr>belugabunyn021</vt:lpstr>
      <vt:lpstr>belugabunyn022</vt:lpstr>
      <vt:lpstr>belugabunyn023</vt:lpstr>
      <vt:lpstr>belugabunyn024</vt:lpstr>
      <vt:lpstr>belugabunyn025</vt:lpstr>
      <vt:lpstr>belugabunyn026</vt:lpstr>
      <vt:lpstr>belugabunyn027</vt:lpstr>
      <vt:lpstr>belugabunyn028</vt:lpstr>
      <vt:lpstr>belugabunyn029</vt:lpstr>
      <vt:lpstr>belugabunyn030</vt:lpstr>
      <vt:lpstr>belugabunyn031</vt:lpstr>
      <vt:lpstr>belugabunyn032</vt:lpstr>
      <vt:lpstr>belugabunyn033</vt:lpstr>
      <vt:lpstr>belugabunyn034</vt:lpstr>
      <vt:lpstr>belugabunyn035</vt:lpstr>
      <vt:lpstr>belugabunyn036</vt:lpstr>
      <vt:lpstr>belugabunyn037</vt:lpstr>
      <vt:lpstr>belugabunyn038</vt:lpstr>
      <vt:lpstr>belugabunyn039</vt:lpstr>
      <vt:lpstr>belugabunyn040</vt:lpstr>
      <vt:lpstr>belugabunyn041</vt:lpstr>
      <vt:lpstr>belugabunyn042</vt:lpstr>
      <vt:lpstr>belugabunyn043</vt:lpstr>
      <vt:lpstr>belugabunyn044</vt:lpstr>
      <vt:lpstr>belugabunyn045</vt:lpstr>
      <vt:lpstr>belugabunyn046</vt:lpstr>
      <vt:lpstr>belugabunyn047</vt:lpstr>
      <vt:lpstr>belugabunyn048</vt:lpstr>
      <vt:lpstr>belugabunyn049</vt:lpstr>
      <vt:lpstr>belugabunyn050</vt:lpstr>
      <vt:lpstr>belugabunyn051</vt:lpstr>
      <vt:lpstr>belugabunyn052</vt:lpstr>
      <vt:lpstr>belugabunyn053</vt:lpstr>
      <vt:lpstr>belugabunyn054</vt:lpstr>
      <vt:lpstr>belugabunyn055</vt:lpstr>
      <vt:lpstr>belugabunyn056</vt:lpstr>
      <vt:lpstr>belugabunyn057</vt:lpstr>
      <vt:lpstr>belugabunyn058</vt:lpstr>
      <vt:lpstr>belugabunyn059</vt:lpstr>
      <vt:lpstr>belugabunyn060</vt:lpstr>
      <vt:lpstr>belugabunyn061</vt:lpstr>
      <vt:lpstr>belugabunyn062</vt:lpstr>
      <vt:lpstr>belugabunyn063</vt:lpstr>
      <vt:lpstr>belugabunyn064</vt:lpstr>
      <vt:lpstr>belugabunyn065</vt:lpstr>
      <vt:lpstr>belugabunyn066</vt:lpstr>
      <vt:lpstr>belugabunyn067</vt:lpstr>
      <vt:lpstr>belugabunyn068</vt:lpstr>
      <vt:lpstr>belugabunyn069</vt:lpstr>
      <vt:lpstr>belugabunyn070</vt:lpstr>
      <vt:lpstr>belugabunyn071</vt:lpstr>
      <vt:lpstr>belugabunyn072</vt:lpstr>
      <vt:lpstr>belugabunyn073</vt:lpstr>
      <vt:lpstr>belugabunyn074</vt:lpstr>
      <vt:lpstr>belugabunyn075</vt:lpstr>
      <vt:lpstr>belugabunyn076</vt:lpstr>
      <vt:lpstr>belugabunyn077</vt:lpstr>
      <vt:lpstr>belugabunyn078</vt:lpstr>
      <vt:lpstr>belugabunyn079</vt:lpstr>
      <vt:lpstr>belugabunyn080</vt:lpstr>
      <vt:lpstr>belugabunyn081</vt:lpstr>
      <vt:lpstr>belugabunyn082</vt:lpstr>
      <vt:lpstr>belugabunyn083</vt:lpstr>
      <vt:lpstr>belugabunyn084</vt:lpstr>
      <vt:lpstr>belugabunyn085</vt:lpstr>
      <vt:lpstr>belugabunyn086</vt:lpstr>
      <vt:lpstr>belugabunyn087</vt:lpstr>
      <vt:lpstr>belugabunyn088</vt:lpstr>
      <vt:lpstr>belugabunyn089</vt:lpstr>
      <vt:lpstr>belugabunyn090</vt:lpstr>
      <vt:lpstr>belugabunyn091</vt:lpstr>
      <vt:lpstr>belugabunyn092</vt:lpstr>
      <vt:lpstr>belugabunyn093</vt:lpstr>
      <vt:lpstr>belugabunyn094</vt:lpstr>
      <vt:lpstr>belugabunyn095</vt:lpstr>
      <vt:lpstr>belugabunyn096</vt:lpstr>
      <vt:lpstr>belugabunyn097</vt:lpstr>
      <vt:lpstr>belugabunyn098</vt:lpstr>
      <vt:lpstr>belugabunyn099</vt:lpstr>
      <vt:lpstr>belugabunyn100</vt:lpstr>
      <vt:lpstr>belugabunyn101</vt:lpstr>
      <vt:lpstr>belugabunyn102</vt:lpstr>
      <vt:lpstr>belugabunyn103</vt:lpstr>
      <vt:lpstr>belugabunyn104</vt:lpstr>
      <vt:lpstr>belugabunyn105</vt:lpstr>
      <vt:lpstr>belugabunyn106</vt:lpstr>
      <vt:lpstr>belugabunyn107</vt:lpstr>
      <vt:lpstr>belugabunyn108</vt:lpstr>
      <vt:lpstr>belugabunyn109</vt:lpstr>
      <vt:lpstr>belugabunyn110</vt:lpstr>
      <vt:lpstr>belugabunyn111</vt:lpstr>
      <vt:lpstr>belugabunyn112</vt:lpstr>
      <vt:lpstr>belugabunyn113</vt:lpstr>
      <vt:lpstr>belugabunyn114</vt:lpstr>
      <vt:lpstr>belugabunyn115</vt:lpstr>
      <vt:lpstr>belugabunyn116</vt:lpstr>
      <vt:lpstr>belugabunyn117</vt:lpstr>
      <vt:lpstr>belugabunyn118</vt:lpstr>
      <vt:lpstr>belugabunyn119</vt:lpstr>
      <vt:lpstr>belugabunyn120</vt:lpstr>
      <vt:lpstr>belugabunyn121</vt:lpstr>
      <vt:lpstr>belugabunyn122</vt:lpstr>
      <vt:lpstr>belugabunyn123</vt:lpstr>
      <vt:lpstr>belugabunyn124</vt:lpstr>
      <vt:lpstr>belugabunyn125</vt:lpstr>
      <vt:lpstr>belugabunyn126</vt:lpstr>
      <vt:lpstr>belugabunyn127</vt:lpstr>
      <vt:lpstr>belugabunyn128</vt:lpstr>
      <vt:lpstr>belugabunyn129</vt:lpstr>
      <vt:lpstr>belugabunyn130</vt:lpstr>
      <vt:lpstr>belugabunyn131</vt:lpstr>
      <vt:lpstr>belugabunyn132</vt:lpstr>
      <vt:lpstr>belugabunyn133</vt:lpstr>
      <vt:lpstr>belugabunyn134</vt:lpstr>
      <vt:lpstr>belugabunyn135</vt:lpstr>
      <vt:lpstr>belugabunyn136</vt:lpstr>
      <vt:lpstr>belugabunyn137</vt:lpstr>
      <vt:lpstr>belugabunyn138</vt:lpstr>
      <vt:lpstr>belugabunyn139</vt:lpstr>
      <vt:lpstr>belugabunyn140</vt:lpstr>
      <vt:lpstr>belugabunyn141</vt:lpstr>
      <vt:lpstr>belugabunyn142</vt:lpstr>
      <vt:lpstr>belugabunyn143</vt:lpstr>
      <vt:lpstr>belugabunyn144</vt:lpstr>
      <vt:lpstr>belugabunyn145</vt:lpstr>
      <vt:lpstr>belugabunyn146</vt:lpstr>
      <vt:lpstr>belugabunyn147</vt:lpstr>
      <vt:lpstr>belugabunyn148</vt:lpstr>
      <vt:lpstr>belugabunyn149</vt:lpstr>
      <vt:lpstr>belugabunyn150</vt:lpstr>
      <vt:lpstr>belugabunyn151</vt:lpstr>
      <vt:lpstr>belugabunyn152</vt:lpstr>
      <vt:lpstr>belugabunyn153</vt:lpstr>
      <vt:lpstr>belugabunyn154</vt:lpstr>
      <vt:lpstr>belugabunyn155</vt:lpstr>
      <vt:lpstr>belugabunyn156</vt:lpstr>
      <vt:lpstr>belugabunyn157</vt:lpstr>
      <vt:lpstr>belugabunyn158</vt:lpstr>
      <vt:lpstr>belugabunyn159</vt:lpstr>
      <vt:lpstr>belugabunyn160</vt:lpstr>
      <vt:lpstr>belugabunyn161</vt:lpstr>
      <vt:lpstr>belugabunyn162</vt:lpstr>
      <vt:lpstr>belugabunyn163</vt:lpstr>
      <vt:lpstr>belugabunyn164</vt:lpstr>
      <vt:lpstr>belugabunyn165</vt:lpstr>
      <vt:lpstr>belugabunyn166</vt:lpstr>
      <vt:lpstr>belugabunyn167</vt:lpstr>
      <vt:lpstr>belugabunyn168</vt:lpstr>
      <vt:lpstr>belugabunyn169</vt:lpstr>
      <vt:lpstr>belugabunyn170</vt:lpstr>
      <vt:lpstr>belugabunyn171</vt:lpstr>
      <vt:lpstr>belugabunyn172</vt:lpstr>
      <vt:lpstr>belugabunyn173</vt:lpstr>
      <vt:lpstr>belugabunyn174</vt:lpstr>
      <vt:lpstr>belugabunyn175</vt:lpstr>
      <vt:lpstr>belugabunyn176</vt:lpstr>
      <vt:lpstr>belugabunyn177</vt:lpstr>
      <vt:lpstr>belugabunyn178</vt:lpstr>
      <vt:lpstr>belugabunyn179</vt:lpstr>
      <vt:lpstr>belugabunyn180</vt:lpstr>
      <vt:lpstr>belugabunyn181</vt:lpstr>
      <vt:lpstr>belugabunyn182</vt:lpstr>
      <vt:lpstr>belugabunyn183</vt:lpstr>
      <vt:lpstr>belugabunyn184</vt:lpstr>
      <vt:lpstr>belugabunyn185</vt:lpstr>
      <vt:lpstr>belugabunyn186</vt:lpstr>
      <vt:lpstr>belugabunyn187</vt:lpstr>
      <vt:lpstr>belugabunyn188</vt:lpstr>
      <vt:lpstr>belugabunyn189</vt:lpstr>
      <vt:lpstr>belugabunyn190</vt:lpstr>
      <vt:lpstr>belugabunyn191</vt:lpstr>
      <vt:lpstr>belugabunyn192</vt:lpstr>
      <vt:lpstr>belugabunyn193</vt:lpstr>
      <vt:lpstr>belugabunyn194</vt:lpstr>
      <vt:lpstr>belugabunyn195</vt:lpstr>
      <vt:lpstr>belugabunyn196</vt:lpstr>
      <vt:lpstr>belugabunyn197</vt:lpstr>
      <vt:lpstr>belugabunyn198</vt:lpstr>
      <vt:lpstr>belugabunyn199</vt:lpstr>
      <vt:lpstr>belugabunyn200</vt:lpstr>
      <vt:lpstr>belugabunyn201</vt:lpstr>
      <vt:lpstr>belugabunyn202</vt:lpstr>
      <vt:lpstr>belugabunyn203</vt:lpstr>
      <vt:lpstr>belugabunyn204</vt:lpstr>
      <vt:lpstr>belugabunyn205</vt:lpstr>
      <vt:lpstr>belugabunyn206</vt:lpstr>
      <vt:lpstr>belugabunyn207</vt:lpstr>
      <vt:lpstr>belugabunyn208</vt:lpstr>
      <vt:lpstr>belugabunyn209</vt:lpstr>
      <vt:lpstr>belugabunyn210</vt:lpstr>
      <vt:lpstr>belugabunyn211</vt:lpstr>
      <vt:lpstr>belugabunyn212</vt:lpstr>
      <vt:lpstr>belugabunyn213</vt:lpstr>
      <vt:lpstr>belugabunyn214</vt:lpstr>
      <vt:lpstr>belugabunyn215</vt:lpstr>
      <vt:lpstr>belugabunyn216</vt:lpstr>
      <vt:lpstr>belugabunyn217</vt:lpstr>
      <vt:lpstr>belugabunyn218</vt:lpstr>
      <vt:lpstr>belugabunyn219</vt:lpstr>
      <vt:lpstr>belugabunyn220</vt:lpstr>
      <vt:lpstr>belugabunyn221</vt:lpstr>
      <vt:lpstr>belugabunyn222</vt:lpstr>
      <vt:lpstr>belugabunyn223</vt:lpstr>
      <vt:lpstr>belugabunyn224</vt:lpstr>
      <vt:lpstr>belugabunyn225</vt:lpstr>
      <vt:lpstr>belugabunyn226</vt:lpstr>
      <vt:lpstr>belugabunyn227</vt:lpstr>
      <vt:lpstr>belugabunyn228</vt:lpstr>
      <vt:lpstr>belugabunyn229</vt:lpstr>
      <vt:lpstr>belugabunyn230</vt:lpstr>
      <vt:lpstr>belugabunyn231</vt:lpstr>
      <vt:lpstr>belugabunyn232</vt:lpstr>
      <vt:lpstr>belugabunyn233</vt:lpstr>
      <vt:lpstr>belugabunyn234</vt:lpstr>
      <vt:lpstr>belugabunyn235</vt:lpstr>
      <vt:lpstr>belugabunyn236</vt:lpstr>
      <vt:lpstr>belugabunyn237</vt:lpstr>
      <vt:lpstr>belugabunyn238</vt:lpstr>
      <vt:lpstr>belugabunyn239</vt:lpstr>
      <vt:lpstr>belugabunyn240</vt:lpstr>
      <vt:lpstr>belugabunyn241</vt:lpstr>
      <vt:lpstr>belugabunyn242</vt:lpstr>
      <vt:lpstr>belugabunyn243</vt:lpstr>
      <vt:lpstr>belugabunyn244</vt:lpstr>
      <vt:lpstr>belugabunyn245</vt:lpstr>
      <vt:lpstr>belugabunyn246</vt:lpstr>
      <vt:lpstr>belugabunyn247</vt:lpstr>
      <vt:lpstr>belugabunyn248</vt:lpstr>
      <vt:lpstr>belugabunyn249</vt:lpstr>
      <vt:lpstr>belugabunyn250</vt:lpstr>
      <vt:lpstr>belugabunyn251</vt:lpstr>
      <vt:lpstr>belugabunyn252</vt:lpstr>
      <vt:lpstr>belugabunyn253</vt:lpstr>
      <vt:lpstr>belugabunyn254</vt:lpstr>
      <vt:lpstr>belugabunyn255</vt:lpstr>
      <vt:lpstr>belugabunyn256</vt:lpstr>
      <vt:lpstr>belugabunyn257</vt:lpstr>
      <vt:lpstr>belugabunyn258</vt:lpstr>
      <vt:lpstr>belugabunyn259</vt:lpstr>
      <vt:lpstr>belugabunyn260</vt:lpstr>
      <vt:lpstr>belugabunyn261</vt:lpstr>
      <vt:lpstr>belugabunyn262</vt:lpstr>
      <vt:lpstr>belugabunyn263</vt:lpstr>
      <vt:lpstr>belugabunyn264</vt:lpstr>
      <vt:lpstr>belugabunyn265</vt:lpstr>
      <vt:lpstr>belugabunyn266</vt:lpstr>
      <vt:lpstr>belugabunyn267</vt:lpstr>
      <vt:lpstr>belugabunyn268</vt:lpstr>
      <vt:lpstr>belugabunyn269</vt:lpstr>
      <vt:lpstr>belugabunyn270</vt:lpstr>
      <vt:lpstr>belugabunyn271</vt:lpstr>
      <vt:lpstr>belugabunyn272</vt:lpstr>
      <vt:lpstr>belugabunyn273</vt:lpstr>
      <vt:lpstr>belugabunyn274</vt:lpstr>
      <vt:lpstr>belugabunyn275</vt:lpstr>
      <vt:lpstr>belugabunyn276</vt:lpstr>
      <vt:lpstr>belugabunyn277</vt:lpstr>
      <vt:lpstr>belugabunyn278</vt:lpstr>
      <vt:lpstr>belugabunyn279</vt:lpstr>
      <vt:lpstr>belugabunyn280</vt:lpstr>
      <vt:lpstr>belugabunyn281</vt:lpstr>
      <vt:lpstr>belugabunyn282</vt:lpstr>
      <vt:lpstr>belugabunyn283</vt:lpstr>
      <vt:lpstr>belugabunyn284</vt:lpstr>
      <vt:lpstr>belugabunyn285</vt:lpstr>
      <vt:lpstr>belugabunyn286</vt:lpstr>
      <vt:lpstr>belugabunyn287</vt:lpstr>
      <vt:lpstr>belugabunyn288</vt:lpstr>
      <vt:lpstr>belugabunyn289</vt:lpstr>
      <vt:lpstr>belugabunyn290</vt:lpstr>
      <vt:lpstr>belugabunyn291</vt:lpstr>
      <vt:lpstr>belugabunyn292</vt:lpstr>
      <vt:lpstr>belugabunyn293</vt:lpstr>
      <vt:lpstr>belugabunyn294</vt:lpstr>
      <vt:lpstr>belugabunyn295</vt:lpstr>
      <vt:lpstr>belugabunyn296</vt:lpstr>
      <vt:lpstr>belugabunyn297</vt:lpstr>
      <vt:lpstr>belugabunyn298</vt:lpstr>
      <vt:lpstr>belugabunyn299</vt:lpstr>
      <vt:lpstr>belugabunyn300</vt:lpstr>
      <vt:lpstr>belugabunyn301</vt:lpstr>
      <vt:lpstr>belugabunyn302</vt:lpstr>
      <vt:lpstr>belugabunyn303</vt:lpstr>
      <vt:lpstr>belugabunyn304</vt:lpstr>
      <vt:lpstr>belugabunyn305</vt:lpstr>
      <vt:lpstr>belugabunyn306</vt:lpstr>
      <vt:lpstr>belugabunyn307</vt:lpstr>
      <vt:lpstr>belugabunyn308</vt:lpstr>
      <vt:lpstr>belugabunyn309</vt:lpstr>
      <vt:lpstr>belugabunyn310</vt:lpstr>
      <vt:lpstr>belugabunyn311</vt:lpstr>
      <vt:lpstr>belugabunyn312</vt:lpstr>
      <vt:lpstr>belugabunyn313</vt:lpstr>
      <vt:lpstr>belugabunyn314</vt:lpstr>
      <vt:lpstr>belugabunyn315</vt:lpstr>
      <vt:lpstr>belugabunyn316</vt:lpstr>
      <vt:lpstr>belugabunyn317</vt:lpstr>
      <vt:lpstr>belugabunyn318</vt:lpstr>
      <vt:lpstr>belugabunyn319</vt:lpstr>
      <vt:lpstr>belugabunyn320</vt:lpstr>
      <vt:lpstr>belugabunyn321</vt:lpstr>
      <vt:lpstr>belugabunyn322</vt:lpstr>
      <vt:lpstr>belugabunyn323</vt:lpstr>
      <vt:lpstr>belugabunyn324</vt:lpstr>
      <vt:lpstr>belugabunyn325</vt:lpstr>
      <vt:lpstr>belugabunyn326</vt:lpstr>
      <vt:lpstr>belugabunyn327</vt:lpstr>
      <vt:lpstr>belugabunyn328</vt:lpstr>
      <vt:lpstr>belugabunyn329</vt:lpstr>
      <vt:lpstr>belugabunyn330</vt:lpstr>
      <vt:lpstr>belugabunyn331</vt:lpstr>
      <vt:lpstr>belugabunyn332</vt:lpstr>
      <vt:lpstr>belugabunyn333</vt:lpstr>
      <vt:lpstr>belugabunyn334</vt:lpstr>
      <vt:lpstr>belugabunyn335</vt:lpstr>
      <vt:lpstr>belugabunyn336</vt:lpstr>
      <vt:lpstr>belugabunyn337</vt:lpstr>
      <vt:lpstr>belugabunyn338</vt:lpstr>
      <vt:lpstr>belugabunyn339</vt:lpstr>
      <vt:lpstr>belugabunyn340</vt:lpstr>
      <vt:lpstr>belugabunyn341</vt:lpstr>
      <vt:lpstr>belugabunyn342</vt:lpstr>
      <vt:lpstr>belugabunyn343</vt:lpstr>
      <vt:lpstr>belugabunyn344</vt:lpstr>
      <vt:lpstr>belugabunyn345</vt:lpstr>
      <vt:lpstr>belugabunyn346</vt:lpstr>
      <vt:lpstr>belugabunyn347</vt:lpstr>
      <vt:lpstr>belugabunyn348</vt:lpstr>
      <vt:lpstr>belugabunyn349</vt:lpstr>
      <vt:lpstr>belugabunyn350</vt:lpstr>
      <vt:lpstr>belugabunyn351</vt:lpstr>
      <vt:lpstr>belugabunyn352</vt:lpstr>
      <vt:lpstr>belugabunyn353</vt:lpstr>
      <vt:lpstr>belugabunyn354</vt:lpstr>
      <vt:lpstr>belugabunyn355</vt:lpstr>
      <vt:lpstr>belugabunyn356</vt:lpstr>
      <vt:lpstr>belugabunyn357</vt:lpstr>
      <vt:lpstr>belugabunyn358</vt:lpstr>
      <vt:lpstr>belugabunyn359</vt:lpstr>
      <vt:lpstr>belugabunyn360</vt:lpstr>
      <vt:lpstr>belugabunyn361</vt:lpstr>
      <vt:lpstr>belugabunyn362</vt:lpstr>
      <vt:lpstr>belugabunyn363</vt:lpstr>
      <vt:lpstr>belugabunyn364</vt:lpstr>
      <vt:lpstr>belugabunyn365</vt:lpstr>
      <vt:lpstr>belugabunyn366</vt:lpstr>
      <vt:lpstr>belugabunyn367</vt:lpstr>
      <vt:lpstr>belugabunyn368</vt:lpstr>
      <vt:lpstr>belugabunyn369</vt:lpstr>
      <vt:lpstr>belugabunyn370</vt:lpstr>
      <vt:lpstr>belugabunyn371</vt:lpstr>
      <vt:lpstr>belugabunyn372</vt:lpstr>
      <vt:lpstr>belugabunyn373</vt:lpstr>
      <vt:lpstr>belugabunyn374</vt:lpstr>
      <vt:lpstr>belugabunyn375</vt:lpstr>
      <vt:lpstr>belugabunyn376</vt:lpstr>
      <vt:lpstr>belugabunyn377</vt:lpstr>
      <vt:lpstr>belugabunyn378</vt:lpstr>
      <vt:lpstr>belugabunyn379</vt:lpstr>
      <vt:lpstr>belugabunyn380</vt:lpstr>
      <vt:lpstr>belugabunyn381</vt:lpstr>
      <vt:lpstr>belugabunyn382</vt:lpstr>
      <vt:lpstr>belugabunyn383</vt:lpstr>
      <vt:lpstr>belugabunyn384</vt:lpstr>
      <vt:lpstr>belugabunyn385</vt:lpstr>
      <vt:lpstr>belugabunyn386</vt:lpstr>
      <vt:lpstr>belugabunyn387</vt:lpstr>
      <vt:lpstr>belugabunyn388</vt:lpstr>
      <vt:lpstr>belugabunyn389</vt:lpstr>
      <vt:lpstr>belugabunyn390</vt:lpstr>
      <vt:lpstr>belugabunyn391</vt:lpstr>
      <vt:lpstr>belugabunyn392</vt:lpstr>
      <vt:lpstr>belugabunyn393</vt:lpstr>
      <vt:lpstr>belugabunyn394</vt:lpstr>
      <vt:lpstr>belugabunyn395</vt:lpstr>
      <vt:lpstr>belugabunyn396</vt:lpstr>
      <vt:lpstr>belugabunyn397</vt:lpstr>
      <vt:lpstr>belugabunyn398</vt:lpstr>
      <vt:lpstr>belugabunyn399</vt:lpstr>
      <vt:lpstr>belugabunyn400</vt:lpstr>
      <vt:lpstr>belugabunyn401</vt:lpstr>
      <vt:lpstr>belugabunyn402</vt:lpstr>
      <vt:lpstr>belugabunyn403</vt:lpstr>
      <vt:lpstr>belugabunyn404</vt:lpstr>
      <vt:lpstr>belugabunyn405</vt:lpstr>
      <vt:lpstr>belugabunyn406</vt:lpstr>
      <vt:lpstr>belugabunyn407</vt:lpstr>
      <vt:lpstr>belugabunyn408</vt:lpstr>
      <vt:lpstr>belugabunyn409</vt:lpstr>
      <vt:lpstr>belugabunyn410</vt:lpstr>
      <vt:lpstr>belugabunyn411</vt:lpstr>
      <vt:lpstr>belugabunyn412</vt:lpstr>
      <vt:lpstr>belugabunyn413</vt:lpstr>
      <vt:lpstr>belugabunyn414</vt:lpstr>
      <vt:lpstr>belugabunyn415</vt:lpstr>
      <vt:lpstr>belugabunyn416</vt:lpstr>
      <vt:lpstr>belugabunyn417</vt:lpstr>
      <vt:lpstr>belugabunyn418</vt:lpstr>
      <vt:lpstr>belugabunyn419</vt:lpstr>
      <vt:lpstr>belugabunyn420</vt:lpstr>
      <vt:lpstr>belugabunyn421</vt:lpstr>
      <vt:lpstr>belugabunyn422</vt:lpstr>
      <vt:lpstr>belugabunyn423</vt:lpstr>
      <vt:lpstr>belugabunyn424</vt:lpstr>
      <vt:lpstr>belugabunyn425</vt:lpstr>
      <vt:lpstr>belugabunyn426</vt:lpstr>
      <vt:lpstr>belugabunyn427</vt:lpstr>
      <vt:lpstr>belugabunyn428</vt:lpstr>
      <vt:lpstr>belugabunyn429</vt:lpstr>
      <vt:lpstr>belugabunyn430</vt:lpstr>
      <vt:lpstr>belugabunyn431</vt:lpstr>
      <vt:lpstr>belugabunyn432</vt:lpstr>
      <vt:lpstr>belugabunyn433</vt:lpstr>
      <vt:lpstr>belugabunyn434</vt:lpstr>
      <vt:lpstr>belugabunyn435</vt:lpstr>
      <vt:lpstr>belugabunyn436</vt:lpstr>
      <vt:lpstr>belugabunyn437</vt:lpstr>
      <vt:lpstr>belugabunyn438</vt:lpstr>
      <vt:lpstr>belugabunyn439</vt:lpstr>
      <vt:lpstr>belugabunyn440</vt:lpstr>
      <vt:lpstr>belugabunyn441</vt:lpstr>
      <vt:lpstr>belugabunyn442</vt:lpstr>
      <vt:lpstr>belugabunyn443</vt:lpstr>
      <vt:lpstr>belugabunyn444</vt:lpstr>
      <vt:lpstr>belugabunyn445</vt:lpstr>
      <vt:lpstr>belugabunyn446</vt:lpstr>
      <vt:lpstr>belugabunyn447</vt:lpstr>
      <vt:lpstr>belugabunyn448</vt:lpstr>
      <vt:lpstr>belugabunyn449</vt:lpstr>
      <vt:lpstr>belugabunyn450</vt:lpstr>
      <vt:lpstr>belugabunyn451</vt:lpstr>
      <vt:lpstr>belugabunyn452</vt:lpstr>
      <vt:lpstr>belugabunyn453</vt:lpstr>
      <vt:lpstr>belugabunyn454</vt:lpstr>
      <vt:lpstr>belugabunyn455</vt:lpstr>
      <vt:lpstr>belugabunyn456</vt:lpstr>
      <vt:lpstr>belugabunyn457</vt:lpstr>
      <vt:lpstr>belugabunyn458</vt:lpstr>
      <vt:lpstr>belugabunyn459</vt:lpstr>
      <vt:lpstr>belugabunyn460</vt:lpstr>
      <vt:lpstr>belugabunyn461</vt:lpstr>
      <vt:lpstr>belugabunyn462</vt:lpstr>
      <vt:lpstr>belugabunyn463</vt:lpstr>
      <vt:lpstr>belugabunyn464</vt:lpstr>
      <vt:lpstr>belugabunyn465</vt:lpstr>
      <vt:lpstr>belugabunyn466</vt:lpstr>
      <vt:lpstr>belugabunyn467</vt:lpstr>
      <vt:lpstr>belugabunyn468</vt:lpstr>
      <vt:lpstr>belugabunyn469</vt:lpstr>
      <vt:lpstr>belugabunyn470</vt:lpstr>
      <vt:lpstr>belugabunyn471</vt:lpstr>
      <vt:lpstr>belugabunyn472</vt:lpstr>
      <vt:lpstr>belugabunyn473</vt:lpstr>
      <vt:lpstr>belugabunyn474</vt:lpstr>
      <vt:lpstr>belugabunyn475</vt:lpstr>
      <vt:lpstr>belugabunyn476</vt:lpstr>
      <vt:lpstr>belugabunyn477</vt:lpstr>
      <vt:lpstr>belugabunyn478</vt:lpstr>
      <vt:lpstr>belugabunyn479</vt:lpstr>
      <vt:lpstr>belugabunyn480</vt:lpstr>
      <vt:lpstr>belugabunyn481</vt:lpstr>
      <vt:lpstr>belugabunyn482</vt:lpstr>
      <vt:lpstr>belugabunyn483</vt:lpstr>
      <vt:lpstr>belugabunyn484</vt:lpstr>
      <vt:lpstr>belugabunyn485</vt:lpstr>
      <vt:lpstr>belugabunyn486</vt:lpstr>
      <vt:lpstr>belugabunyn487</vt:lpstr>
      <vt:lpstr>belugabunyn488</vt:lpstr>
      <vt:lpstr>belugabunyn489</vt:lpstr>
      <vt:lpstr>belugabunyn490</vt:lpstr>
      <vt:lpstr>belugabunyn491</vt:lpstr>
      <vt:lpstr>belugabunyn492</vt:lpstr>
      <vt:lpstr>belugabunyn493</vt:lpstr>
      <vt:lpstr>belugabunyn494</vt:lpstr>
      <vt:lpstr>belugabunyn495</vt:lpstr>
      <vt:lpstr>belugabunyn496</vt:lpstr>
      <vt:lpstr>belugabunyn497</vt:lpstr>
      <vt:lpstr>belugabunyn498</vt:lpstr>
      <vt:lpstr>belugabunyn499</vt:lpstr>
      <vt:lpstr>belugabunyn500</vt:lpstr>
      <vt:lpstr>billid001</vt:lpstr>
      <vt:lpstr>billid002</vt:lpstr>
      <vt:lpstr>billid003</vt:lpstr>
      <vt:lpstr>billid004</vt:lpstr>
      <vt:lpstr>billid005</vt:lpstr>
      <vt:lpstr>billid006</vt:lpstr>
      <vt:lpstr>billid007</vt:lpstr>
      <vt:lpstr>billid008</vt:lpstr>
      <vt:lpstr>billid009</vt:lpstr>
      <vt:lpstr>billid010</vt:lpstr>
      <vt:lpstr>billid011</vt:lpstr>
      <vt:lpstr>billid012</vt:lpstr>
      <vt:lpstr>billid013</vt:lpstr>
      <vt:lpstr>billid014</vt:lpstr>
      <vt:lpstr>billid015</vt:lpstr>
      <vt:lpstr>billid016</vt:lpstr>
      <vt:lpstr>billid017</vt:lpstr>
      <vt:lpstr>billid018</vt:lpstr>
      <vt:lpstr>billid019</vt:lpstr>
      <vt:lpstr>billid020</vt:lpstr>
      <vt:lpstr>billid021</vt:lpstr>
      <vt:lpstr>billid022</vt:lpstr>
      <vt:lpstr>billid023</vt:lpstr>
      <vt:lpstr>billid024</vt:lpstr>
      <vt:lpstr>billid025</vt:lpstr>
      <vt:lpstr>billid026</vt:lpstr>
      <vt:lpstr>billid027</vt:lpstr>
      <vt:lpstr>billid028</vt:lpstr>
      <vt:lpstr>billid029</vt:lpstr>
      <vt:lpstr>billid030</vt:lpstr>
      <vt:lpstr>billid031</vt:lpstr>
      <vt:lpstr>billid032</vt:lpstr>
      <vt:lpstr>billid033</vt:lpstr>
      <vt:lpstr>billid034</vt:lpstr>
      <vt:lpstr>billid035</vt:lpstr>
      <vt:lpstr>billid036</vt:lpstr>
      <vt:lpstr>billid037</vt:lpstr>
      <vt:lpstr>billid038</vt:lpstr>
      <vt:lpstr>billid039</vt:lpstr>
      <vt:lpstr>billid040</vt:lpstr>
      <vt:lpstr>billid041</vt:lpstr>
      <vt:lpstr>billid042</vt:lpstr>
      <vt:lpstr>billid043</vt:lpstr>
      <vt:lpstr>billid044</vt:lpstr>
      <vt:lpstr>billid045</vt:lpstr>
      <vt:lpstr>billid046</vt:lpstr>
      <vt:lpstr>billid047</vt:lpstr>
      <vt:lpstr>billid048</vt:lpstr>
      <vt:lpstr>billid049</vt:lpstr>
      <vt:lpstr>billid050</vt:lpstr>
      <vt:lpstr>billid051</vt:lpstr>
      <vt:lpstr>billid052</vt:lpstr>
      <vt:lpstr>billid053</vt:lpstr>
      <vt:lpstr>billid054</vt:lpstr>
      <vt:lpstr>billid055</vt:lpstr>
      <vt:lpstr>billid056</vt:lpstr>
      <vt:lpstr>billid057</vt:lpstr>
      <vt:lpstr>billid058</vt:lpstr>
      <vt:lpstr>billid059</vt:lpstr>
      <vt:lpstr>billid060</vt:lpstr>
      <vt:lpstr>billid061</vt:lpstr>
      <vt:lpstr>billid062</vt:lpstr>
      <vt:lpstr>billid063</vt:lpstr>
      <vt:lpstr>billid064</vt:lpstr>
      <vt:lpstr>billid065</vt:lpstr>
      <vt:lpstr>billid066</vt:lpstr>
      <vt:lpstr>billid067</vt:lpstr>
      <vt:lpstr>billid068</vt:lpstr>
      <vt:lpstr>billid069</vt:lpstr>
      <vt:lpstr>billid070</vt:lpstr>
      <vt:lpstr>billid071</vt:lpstr>
      <vt:lpstr>billid072</vt:lpstr>
      <vt:lpstr>billid073</vt:lpstr>
      <vt:lpstr>billid074</vt:lpstr>
      <vt:lpstr>billid075</vt:lpstr>
      <vt:lpstr>billid076</vt:lpstr>
      <vt:lpstr>billid077</vt:lpstr>
      <vt:lpstr>billid078</vt:lpstr>
      <vt:lpstr>billid079</vt:lpstr>
      <vt:lpstr>billid080</vt:lpstr>
      <vt:lpstr>billid081</vt:lpstr>
      <vt:lpstr>billid082</vt:lpstr>
      <vt:lpstr>billid083</vt:lpstr>
      <vt:lpstr>billid084</vt:lpstr>
      <vt:lpstr>billid085</vt:lpstr>
      <vt:lpstr>billid086</vt:lpstr>
      <vt:lpstr>billid087</vt:lpstr>
      <vt:lpstr>billid088</vt:lpstr>
      <vt:lpstr>billid089</vt:lpstr>
      <vt:lpstr>billid090</vt:lpstr>
      <vt:lpstr>billid091</vt:lpstr>
      <vt:lpstr>billid092</vt:lpstr>
      <vt:lpstr>billid093</vt:lpstr>
      <vt:lpstr>billid094</vt:lpstr>
      <vt:lpstr>billid095</vt:lpstr>
      <vt:lpstr>billid096</vt:lpstr>
      <vt:lpstr>billid097</vt:lpstr>
      <vt:lpstr>billid098</vt:lpstr>
      <vt:lpstr>billid099</vt:lpstr>
      <vt:lpstr>billid100</vt:lpstr>
      <vt:lpstr>billid101</vt:lpstr>
      <vt:lpstr>billid102</vt:lpstr>
      <vt:lpstr>billid103</vt:lpstr>
      <vt:lpstr>billid104</vt:lpstr>
      <vt:lpstr>billid105</vt:lpstr>
      <vt:lpstr>billid106</vt:lpstr>
      <vt:lpstr>billid107</vt:lpstr>
      <vt:lpstr>billid108</vt:lpstr>
      <vt:lpstr>billid109</vt:lpstr>
      <vt:lpstr>billid110</vt:lpstr>
      <vt:lpstr>billid111</vt:lpstr>
      <vt:lpstr>billid112</vt:lpstr>
      <vt:lpstr>billid113</vt:lpstr>
      <vt:lpstr>billid114</vt:lpstr>
      <vt:lpstr>billid115</vt:lpstr>
      <vt:lpstr>billid116</vt:lpstr>
      <vt:lpstr>billid117</vt:lpstr>
      <vt:lpstr>billid118</vt:lpstr>
      <vt:lpstr>billid119</vt:lpstr>
      <vt:lpstr>billid120</vt:lpstr>
      <vt:lpstr>billid121</vt:lpstr>
      <vt:lpstr>billid122</vt:lpstr>
      <vt:lpstr>billid123</vt:lpstr>
      <vt:lpstr>billid124</vt:lpstr>
      <vt:lpstr>billid125</vt:lpstr>
      <vt:lpstr>billid126</vt:lpstr>
      <vt:lpstr>billid127</vt:lpstr>
      <vt:lpstr>billid128</vt:lpstr>
      <vt:lpstr>billid129</vt:lpstr>
      <vt:lpstr>billid130</vt:lpstr>
      <vt:lpstr>billid131</vt:lpstr>
      <vt:lpstr>billid132</vt:lpstr>
      <vt:lpstr>billid133</vt:lpstr>
      <vt:lpstr>billid134</vt:lpstr>
      <vt:lpstr>billid135</vt:lpstr>
      <vt:lpstr>billid136</vt:lpstr>
      <vt:lpstr>billid137</vt:lpstr>
      <vt:lpstr>billid138</vt:lpstr>
      <vt:lpstr>billid139</vt:lpstr>
      <vt:lpstr>billid140</vt:lpstr>
      <vt:lpstr>billid141</vt:lpstr>
      <vt:lpstr>billid142</vt:lpstr>
      <vt:lpstr>billid143</vt:lpstr>
      <vt:lpstr>billid144</vt:lpstr>
      <vt:lpstr>billid145</vt:lpstr>
      <vt:lpstr>billid146</vt:lpstr>
      <vt:lpstr>billid147</vt:lpstr>
      <vt:lpstr>billid148</vt:lpstr>
      <vt:lpstr>billid149</vt:lpstr>
      <vt:lpstr>billid150</vt:lpstr>
      <vt:lpstr>billid151</vt:lpstr>
      <vt:lpstr>billid152</vt:lpstr>
      <vt:lpstr>billid153</vt:lpstr>
      <vt:lpstr>billid154</vt:lpstr>
      <vt:lpstr>billid155</vt:lpstr>
      <vt:lpstr>billid156</vt:lpstr>
      <vt:lpstr>billid157</vt:lpstr>
      <vt:lpstr>billid158</vt:lpstr>
      <vt:lpstr>billid159</vt:lpstr>
      <vt:lpstr>billid160</vt:lpstr>
      <vt:lpstr>billid161</vt:lpstr>
      <vt:lpstr>billid162</vt:lpstr>
      <vt:lpstr>billid163</vt:lpstr>
      <vt:lpstr>billid164</vt:lpstr>
      <vt:lpstr>billid165</vt:lpstr>
      <vt:lpstr>billid166</vt:lpstr>
      <vt:lpstr>billid167</vt:lpstr>
      <vt:lpstr>billid168</vt:lpstr>
      <vt:lpstr>billid169</vt:lpstr>
      <vt:lpstr>billid170</vt:lpstr>
      <vt:lpstr>billid171</vt:lpstr>
      <vt:lpstr>billid172</vt:lpstr>
      <vt:lpstr>billid173</vt:lpstr>
      <vt:lpstr>billid174</vt:lpstr>
      <vt:lpstr>billid175</vt:lpstr>
      <vt:lpstr>billid176</vt:lpstr>
      <vt:lpstr>billid177</vt:lpstr>
      <vt:lpstr>billid178</vt:lpstr>
      <vt:lpstr>billid179</vt:lpstr>
      <vt:lpstr>billid180</vt:lpstr>
      <vt:lpstr>billid181</vt:lpstr>
      <vt:lpstr>billid182</vt:lpstr>
      <vt:lpstr>billid183</vt:lpstr>
      <vt:lpstr>billid184</vt:lpstr>
      <vt:lpstr>billid185</vt:lpstr>
      <vt:lpstr>billid186</vt:lpstr>
      <vt:lpstr>billid187</vt:lpstr>
      <vt:lpstr>billid188</vt:lpstr>
      <vt:lpstr>billid189</vt:lpstr>
      <vt:lpstr>billid190</vt:lpstr>
      <vt:lpstr>billid191</vt:lpstr>
      <vt:lpstr>billid192</vt:lpstr>
      <vt:lpstr>billid193</vt:lpstr>
      <vt:lpstr>billid194</vt:lpstr>
      <vt:lpstr>billid195</vt:lpstr>
      <vt:lpstr>billid196</vt:lpstr>
      <vt:lpstr>billid197</vt:lpstr>
      <vt:lpstr>billid198</vt:lpstr>
      <vt:lpstr>billid199</vt:lpstr>
      <vt:lpstr>billid200</vt:lpstr>
      <vt:lpstr>billid201</vt:lpstr>
      <vt:lpstr>billid202</vt:lpstr>
      <vt:lpstr>billid203</vt:lpstr>
      <vt:lpstr>billid204</vt:lpstr>
      <vt:lpstr>billid205</vt:lpstr>
      <vt:lpstr>billid206</vt:lpstr>
      <vt:lpstr>billid207</vt:lpstr>
      <vt:lpstr>billid208</vt:lpstr>
      <vt:lpstr>billid209</vt:lpstr>
      <vt:lpstr>billid210</vt:lpstr>
      <vt:lpstr>billid211</vt:lpstr>
      <vt:lpstr>billid212</vt:lpstr>
      <vt:lpstr>billid213</vt:lpstr>
      <vt:lpstr>billid214</vt:lpstr>
      <vt:lpstr>billid215</vt:lpstr>
      <vt:lpstr>billid216</vt:lpstr>
      <vt:lpstr>billid217</vt:lpstr>
      <vt:lpstr>billid218</vt:lpstr>
      <vt:lpstr>billid219</vt:lpstr>
      <vt:lpstr>billid220</vt:lpstr>
      <vt:lpstr>billid221</vt:lpstr>
      <vt:lpstr>billid222</vt:lpstr>
      <vt:lpstr>billid223</vt:lpstr>
      <vt:lpstr>billid224</vt:lpstr>
      <vt:lpstr>billid225</vt:lpstr>
      <vt:lpstr>billid226</vt:lpstr>
      <vt:lpstr>billid227</vt:lpstr>
      <vt:lpstr>billid228</vt:lpstr>
      <vt:lpstr>billid229</vt:lpstr>
      <vt:lpstr>billid230</vt:lpstr>
      <vt:lpstr>billid231</vt:lpstr>
      <vt:lpstr>billid232</vt:lpstr>
      <vt:lpstr>billid233</vt:lpstr>
      <vt:lpstr>billid234</vt:lpstr>
      <vt:lpstr>billid235</vt:lpstr>
      <vt:lpstr>billid236</vt:lpstr>
      <vt:lpstr>billid237</vt:lpstr>
      <vt:lpstr>billid238</vt:lpstr>
      <vt:lpstr>billid239</vt:lpstr>
      <vt:lpstr>billid240</vt:lpstr>
      <vt:lpstr>billid241</vt:lpstr>
      <vt:lpstr>billid242</vt:lpstr>
      <vt:lpstr>billid243</vt:lpstr>
      <vt:lpstr>billid244</vt:lpstr>
      <vt:lpstr>billid245</vt:lpstr>
      <vt:lpstr>billid246</vt:lpstr>
      <vt:lpstr>billid247</vt:lpstr>
      <vt:lpstr>billid248</vt:lpstr>
      <vt:lpstr>billid249</vt:lpstr>
      <vt:lpstr>billid250</vt:lpstr>
      <vt:lpstr>billid251</vt:lpstr>
      <vt:lpstr>billid252</vt:lpstr>
      <vt:lpstr>billid253</vt:lpstr>
      <vt:lpstr>billid254</vt:lpstr>
      <vt:lpstr>billid255</vt:lpstr>
      <vt:lpstr>billid256</vt:lpstr>
      <vt:lpstr>billid257</vt:lpstr>
      <vt:lpstr>billid258</vt:lpstr>
      <vt:lpstr>billid259</vt:lpstr>
      <vt:lpstr>billid260</vt:lpstr>
      <vt:lpstr>billid261</vt:lpstr>
      <vt:lpstr>billid262</vt:lpstr>
      <vt:lpstr>billid263</vt:lpstr>
      <vt:lpstr>billid264</vt:lpstr>
      <vt:lpstr>billid265</vt:lpstr>
      <vt:lpstr>billid266</vt:lpstr>
      <vt:lpstr>billid267</vt:lpstr>
      <vt:lpstr>billid268</vt:lpstr>
      <vt:lpstr>billid269</vt:lpstr>
      <vt:lpstr>billid270</vt:lpstr>
      <vt:lpstr>billid271</vt:lpstr>
      <vt:lpstr>billid272</vt:lpstr>
      <vt:lpstr>billid273</vt:lpstr>
      <vt:lpstr>billid274</vt:lpstr>
      <vt:lpstr>billid275</vt:lpstr>
      <vt:lpstr>billid276</vt:lpstr>
      <vt:lpstr>billid277</vt:lpstr>
      <vt:lpstr>billid278</vt:lpstr>
      <vt:lpstr>billid279</vt:lpstr>
      <vt:lpstr>billid280</vt:lpstr>
      <vt:lpstr>billid281</vt:lpstr>
      <vt:lpstr>billid282</vt:lpstr>
      <vt:lpstr>billid283</vt:lpstr>
      <vt:lpstr>billid284</vt:lpstr>
      <vt:lpstr>billid285</vt:lpstr>
      <vt:lpstr>billid286</vt:lpstr>
      <vt:lpstr>billid287</vt:lpstr>
      <vt:lpstr>billid288</vt:lpstr>
      <vt:lpstr>billid289</vt:lpstr>
      <vt:lpstr>billid290</vt:lpstr>
      <vt:lpstr>billid291</vt:lpstr>
      <vt:lpstr>billid292</vt:lpstr>
      <vt:lpstr>billid293</vt:lpstr>
      <vt:lpstr>billid294</vt:lpstr>
      <vt:lpstr>billid295</vt:lpstr>
      <vt:lpstr>billid296</vt:lpstr>
      <vt:lpstr>billid297</vt:lpstr>
      <vt:lpstr>billid298</vt:lpstr>
      <vt:lpstr>billid299</vt:lpstr>
      <vt:lpstr>billid300</vt:lpstr>
      <vt:lpstr>billid301</vt:lpstr>
      <vt:lpstr>billid302</vt:lpstr>
      <vt:lpstr>billid303</vt:lpstr>
      <vt:lpstr>billid304</vt:lpstr>
      <vt:lpstr>billid305</vt:lpstr>
      <vt:lpstr>billid306</vt:lpstr>
      <vt:lpstr>billid307</vt:lpstr>
      <vt:lpstr>billid308</vt:lpstr>
      <vt:lpstr>billid309</vt:lpstr>
      <vt:lpstr>billid310</vt:lpstr>
      <vt:lpstr>billid311</vt:lpstr>
      <vt:lpstr>billid312</vt:lpstr>
      <vt:lpstr>billid313</vt:lpstr>
      <vt:lpstr>billid314</vt:lpstr>
      <vt:lpstr>billid315</vt:lpstr>
      <vt:lpstr>billid316</vt:lpstr>
      <vt:lpstr>billid317</vt:lpstr>
      <vt:lpstr>billid318</vt:lpstr>
      <vt:lpstr>billid319</vt:lpstr>
      <vt:lpstr>billid320</vt:lpstr>
      <vt:lpstr>billid321</vt:lpstr>
      <vt:lpstr>billid322</vt:lpstr>
      <vt:lpstr>billid323</vt:lpstr>
      <vt:lpstr>billid324</vt:lpstr>
      <vt:lpstr>billid325</vt:lpstr>
      <vt:lpstr>billid326</vt:lpstr>
      <vt:lpstr>billid327</vt:lpstr>
      <vt:lpstr>billid328</vt:lpstr>
      <vt:lpstr>billid329</vt:lpstr>
      <vt:lpstr>billid330</vt:lpstr>
      <vt:lpstr>billid331</vt:lpstr>
      <vt:lpstr>billid332</vt:lpstr>
      <vt:lpstr>billid333</vt:lpstr>
      <vt:lpstr>billid334</vt:lpstr>
      <vt:lpstr>billid335</vt:lpstr>
      <vt:lpstr>billid336</vt:lpstr>
      <vt:lpstr>billid337</vt:lpstr>
      <vt:lpstr>billid338</vt:lpstr>
      <vt:lpstr>billid339</vt:lpstr>
      <vt:lpstr>billid340</vt:lpstr>
      <vt:lpstr>billid341</vt:lpstr>
      <vt:lpstr>billid342</vt:lpstr>
      <vt:lpstr>billid343</vt:lpstr>
      <vt:lpstr>billid344</vt:lpstr>
      <vt:lpstr>billid345</vt:lpstr>
      <vt:lpstr>billid346</vt:lpstr>
      <vt:lpstr>billid347</vt:lpstr>
      <vt:lpstr>billid348</vt:lpstr>
      <vt:lpstr>billid349</vt:lpstr>
      <vt:lpstr>billid350</vt:lpstr>
      <vt:lpstr>billid351</vt:lpstr>
      <vt:lpstr>billid352</vt:lpstr>
      <vt:lpstr>billid353</vt:lpstr>
      <vt:lpstr>billid354</vt:lpstr>
      <vt:lpstr>billid355</vt:lpstr>
      <vt:lpstr>billid356</vt:lpstr>
      <vt:lpstr>billid357</vt:lpstr>
      <vt:lpstr>billid358</vt:lpstr>
      <vt:lpstr>billid359</vt:lpstr>
      <vt:lpstr>billid360</vt:lpstr>
      <vt:lpstr>billid361</vt:lpstr>
      <vt:lpstr>billid362</vt:lpstr>
      <vt:lpstr>billid363</vt:lpstr>
      <vt:lpstr>billid364</vt:lpstr>
      <vt:lpstr>billid365</vt:lpstr>
      <vt:lpstr>billid366</vt:lpstr>
      <vt:lpstr>billid367</vt:lpstr>
      <vt:lpstr>billid368</vt:lpstr>
      <vt:lpstr>billid369</vt:lpstr>
      <vt:lpstr>billid370</vt:lpstr>
      <vt:lpstr>billid371</vt:lpstr>
      <vt:lpstr>billid372</vt:lpstr>
      <vt:lpstr>billid373</vt:lpstr>
      <vt:lpstr>billid374</vt:lpstr>
      <vt:lpstr>billid375</vt:lpstr>
      <vt:lpstr>billid376</vt:lpstr>
      <vt:lpstr>billid377</vt:lpstr>
      <vt:lpstr>billid378</vt:lpstr>
      <vt:lpstr>billid379</vt:lpstr>
      <vt:lpstr>billid380</vt:lpstr>
      <vt:lpstr>billid381</vt:lpstr>
      <vt:lpstr>billid382</vt:lpstr>
      <vt:lpstr>billid383</vt:lpstr>
      <vt:lpstr>billid384</vt:lpstr>
      <vt:lpstr>billid385</vt:lpstr>
      <vt:lpstr>billid386</vt:lpstr>
      <vt:lpstr>billid387</vt:lpstr>
      <vt:lpstr>billid388</vt:lpstr>
      <vt:lpstr>billid389</vt:lpstr>
      <vt:lpstr>billid390</vt:lpstr>
      <vt:lpstr>billid391</vt:lpstr>
      <vt:lpstr>billid392</vt:lpstr>
      <vt:lpstr>billid393</vt:lpstr>
      <vt:lpstr>billid394</vt:lpstr>
      <vt:lpstr>billid395</vt:lpstr>
      <vt:lpstr>billid396</vt:lpstr>
      <vt:lpstr>billid397</vt:lpstr>
      <vt:lpstr>billid398</vt:lpstr>
      <vt:lpstr>billid399</vt:lpstr>
      <vt:lpstr>billid400</vt:lpstr>
      <vt:lpstr>billid401</vt:lpstr>
      <vt:lpstr>billid402</vt:lpstr>
      <vt:lpstr>billid403</vt:lpstr>
      <vt:lpstr>billid404</vt:lpstr>
      <vt:lpstr>billid405</vt:lpstr>
      <vt:lpstr>billid406</vt:lpstr>
      <vt:lpstr>billid407</vt:lpstr>
      <vt:lpstr>billid408</vt:lpstr>
      <vt:lpstr>billid409</vt:lpstr>
      <vt:lpstr>billid410</vt:lpstr>
      <vt:lpstr>billid411</vt:lpstr>
      <vt:lpstr>billid412</vt:lpstr>
      <vt:lpstr>billid413</vt:lpstr>
      <vt:lpstr>billid414</vt:lpstr>
      <vt:lpstr>billid415</vt:lpstr>
      <vt:lpstr>billid416</vt:lpstr>
      <vt:lpstr>billid417</vt:lpstr>
      <vt:lpstr>billid418</vt:lpstr>
      <vt:lpstr>billid419</vt:lpstr>
      <vt:lpstr>billid420</vt:lpstr>
      <vt:lpstr>billid421</vt:lpstr>
      <vt:lpstr>billid422</vt:lpstr>
      <vt:lpstr>billid423</vt:lpstr>
      <vt:lpstr>billid424</vt:lpstr>
      <vt:lpstr>billid425</vt:lpstr>
      <vt:lpstr>billid426</vt:lpstr>
      <vt:lpstr>billid427</vt:lpstr>
      <vt:lpstr>billid428</vt:lpstr>
      <vt:lpstr>billid429</vt:lpstr>
      <vt:lpstr>billid430</vt:lpstr>
      <vt:lpstr>billid431</vt:lpstr>
      <vt:lpstr>billid432</vt:lpstr>
      <vt:lpstr>billid433</vt:lpstr>
      <vt:lpstr>billid434</vt:lpstr>
      <vt:lpstr>billid435</vt:lpstr>
      <vt:lpstr>billid436</vt:lpstr>
      <vt:lpstr>billid437</vt:lpstr>
      <vt:lpstr>billid438</vt:lpstr>
      <vt:lpstr>billid439</vt:lpstr>
      <vt:lpstr>billid440</vt:lpstr>
      <vt:lpstr>billid441</vt:lpstr>
      <vt:lpstr>billid442</vt:lpstr>
      <vt:lpstr>billid443</vt:lpstr>
      <vt:lpstr>billid444</vt:lpstr>
      <vt:lpstr>billid445</vt:lpstr>
      <vt:lpstr>billid446</vt:lpstr>
      <vt:lpstr>billid447</vt:lpstr>
      <vt:lpstr>billid448</vt:lpstr>
      <vt:lpstr>billid449</vt:lpstr>
      <vt:lpstr>billid450</vt:lpstr>
      <vt:lpstr>billid451</vt:lpstr>
      <vt:lpstr>billid452</vt:lpstr>
      <vt:lpstr>billid453</vt:lpstr>
      <vt:lpstr>billid454</vt:lpstr>
      <vt:lpstr>billid455</vt:lpstr>
      <vt:lpstr>billid456</vt:lpstr>
      <vt:lpstr>billid457</vt:lpstr>
      <vt:lpstr>billid458</vt:lpstr>
      <vt:lpstr>billid459</vt:lpstr>
      <vt:lpstr>billid460</vt:lpstr>
      <vt:lpstr>billid461</vt:lpstr>
      <vt:lpstr>billid462</vt:lpstr>
      <vt:lpstr>billid463</vt:lpstr>
      <vt:lpstr>billid464</vt:lpstr>
      <vt:lpstr>billid465</vt:lpstr>
      <vt:lpstr>billid466</vt:lpstr>
      <vt:lpstr>billid467</vt:lpstr>
      <vt:lpstr>billid468</vt:lpstr>
      <vt:lpstr>billid469</vt:lpstr>
      <vt:lpstr>billid470</vt:lpstr>
      <vt:lpstr>billid471</vt:lpstr>
      <vt:lpstr>billid472</vt:lpstr>
      <vt:lpstr>billid473</vt:lpstr>
      <vt:lpstr>billid474</vt:lpstr>
      <vt:lpstr>billid475</vt:lpstr>
      <vt:lpstr>billid476</vt:lpstr>
      <vt:lpstr>billid477</vt:lpstr>
      <vt:lpstr>billid478</vt:lpstr>
      <vt:lpstr>billid479</vt:lpstr>
      <vt:lpstr>billid480</vt:lpstr>
      <vt:lpstr>billid481</vt:lpstr>
      <vt:lpstr>billid482</vt:lpstr>
      <vt:lpstr>billid483</vt:lpstr>
      <vt:lpstr>billid484</vt:lpstr>
      <vt:lpstr>billid485</vt:lpstr>
      <vt:lpstr>billid486</vt:lpstr>
      <vt:lpstr>billid487</vt:lpstr>
      <vt:lpstr>billid488</vt:lpstr>
      <vt:lpstr>billid489</vt:lpstr>
      <vt:lpstr>billid490</vt:lpstr>
      <vt:lpstr>billid491</vt:lpstr>
      <vt:lpstr>billid492</vt:lpstr>
      <vt:lpstr>billid493</vt:lpstr>
      <vt:lpstr>billid494</vt:lpstr>
      <vt:lpstr>billid495</vt:lpstr>
      <vt:lpstr>billid496</vt:lpstr>
      <vt:lpstr>billid497</vt:lpstr>
      <vt:lpstr>billid498</vt:lpstr>
      <vt:lpstr>billid499</vt:lpstr>
      <vt:lpstr>billid500</vt:lpstr>
      <vt:lpstr>billingStationAuthKey</vt:lpstr>
      <vt:lpstr>billingStationCustomerMailAddress</vt:lpstr>
      <vt:lpstr>billingStationCustomerNumber</vt:lpstr>
      <vt:lpstr>billingStationDeptName</vt:lpstr>
      <vt:lpstr>billingStationDeptNameKana</vt:lpstr>
      <vt:lpstr>billingStationPerson</vt:lpstr>
      <vt:lpstr>billingStationPersonKana</vt:lpstr>
      <vt:lpstr>billingStationPhoneNumber</vt:lpstr>
      <vt:lpstr>billingStationUseDataByNumber</vt:lpstr>
      <vt:lpstr>comment</vt:lpstr>
      <vt:lpstr>contractCustomerAddress</vt:lpstr>
      <vt:lpstr>contractCustomerAddress2</vt:lpstr>
      <vt:lpstr>contractCustomerAddressKana</vt:lpstr>
      <vt:lpstr>contractCustomerName</vt:lpstr>
      <vt:lpstr>contractCustomerNameKana</vt:lpstr>
      <vt:lpstr>contractCustomerPostalNumber</vt:lpstr>
      <vt:lpstr>formVersion</vt:lpstr>
      <vt:lpstr>keiyakuid001</vt:lpstr>
      <vt:lpstr>keiyakuid002</vt:lpstr>
      <vt:lpstr>keiyakuid003</vt:lpstr>
      <vt:lpstr>keiyakuid004</vt:lpstr>
      <vt:lpstr>keiyakuid005</vt:lpstr>
      <vt:lpstr>keiyakuid006</vt:lpstr>
      <vt:lpstr>keiyakuid007</vt:lpstr>
      <vt:lpstr>keiyakuid008</vt:lpstr>
      <vt:lpstr>keiyakuid009</vt:lpstr>
      <vt:lpstr>keiyakuid010</vt:lpstr>
      <vt:lpstr>keiyakuid011</vt:lpstr>
      <vt:lpstr>keiyakuid012</vt:lpstr>
      <vt:lpstr>keiyakuid013</vt:lpstr>
      <vt:lpstr>keiyakuid014</vt:lpstr>
      <vt:lpstr>keiyakuid015</vt:lpstr>
      <vt:lpstr>keiyakuid016</vt:lpstr>
      <vt:lpstr>keiyakuid017</vt:lpstr>
      <vt:lpstr>keiyakuid018</vt:lpstr>
      <vt:lpstr>keiyakuid019</vt:lpstr>
      <vt:lpstr>keiyakuid020</vt:lpstr>
      <vt:lpstr>keiyakuid021</vt:lpstr>
      <vt:lpstr>keiyakuid022</vt:lpstr>
      <vt:lpstr>keiyakuid023</vt:lpstr>
      <vt:lpstr>keiyakuid024</vt:lpstr>
      <vt:lpstr>keiyakuid025</vt:lpstr>
      <vt:lpstr>keiyakuid026</vt:lpstr>
      <vt:lpstr>keiyakuid027</vt:lpstr>
      <vt:lpstr>keiyakuid028</vt:lpstr>
      <vt:lpstr>keiyakuid029</vt:lpstr>
      <vt:lpstr>keiyakuid030</vt:lpstr>
      <vt:lpstr>keiyakuid031</vt:lpstr>
      <vt:lpstr>keiyakuid032</vt:lpstr>
      <vt:lpstr>keiyakuid033</vt:lpstr>
      <vt:lpstr>keiyakuid034</vt:lpstr>
      <vt:lpstr>keiyakuid035</vt:lpstr>
      <vt:lpstr>keiyakuid036</vt:lpstr>
      <vt:lpstr>keiyakuid037</vt:lpstr>
      <vt:lpstr>keiyakuid038</vt:lpstr>
      <vt:lpstr>keiyakuid039</vt:lpstr>
      <vt:lpstr>keiyakuid040</vt:lpstr>
      <vt:lpstr>keiyakuid041</vt:lpstr>
      <vt:lpstr>keiyakuid042</vt:lpstr>
      <vt:lpstr>keiyakuid043</vt:lpstr>
      <vt:lpstr>keiyakuid044</vt:lpstr>
      <vt:lpstr>keiyakuid045</vt:lpstr>
      <vt:lpstr>keiyakuid046</vt:lpstr>
      <vt:lpstr>keiyakuid047</vt:lpstr>
      <vt:lpstr>keiyakuid048</vt:lpstr>
      <vt:lpstr>keiyakuid049</vt:lpstr>
      <vt:lpstr>keiyakuid050</vt:lpstr>
      <vt:lpstr>keiyakuid051</vt:lpstr>
      <vt:lpstr>keiyakuid052</vt:lpstr>
      <vt:lpstr>keiyakuid053</vt:lpstr>
      <vt:lpstr>keiyakuid054</vt:lpstr>
      <vt:lpstr>keiyakuid055</vt:lpstr>
      <vt:lpstr>keiyakuid056</vt:lpstr>
      <vt:lpstr>keiyakuid057</vt:lpstr>
      <vt:lpstr>keiyakuid058</vt:lpstr>
      <vt:lpstr>keiyakuid059</vt:lpstr>
      <vt:lpstr>keiyakuid060</vt:lpstr>
      <vt:lpstr>keiyakuid061</vt:lpstr>
      <vt:lpstr>keiyakuid062</vt:lpstr>
      <vt:lpstr>keiyakuid063</vt:lpstr>
      <vt:lpstr>keiyakuid064</vt:lpstr>
      <vt:lpstr>keiyakuid065</vt:lpstr>
      <vt:lpstr>keiyakuid066</vt:lpstr>
      <vt:lpstr>keiyakuid067</vt:lpstr>
      <vt:lpstr>keiyakuid068</vt:lpstr>
      <vt:lpstr>keiyakuid069</vt:lpstr>
      <vt:lpstr>keiyakuid070</vt:lpstr>
      <vt:lpstr>keiyakuid071</vt:lpstr>
      <vt:lpstr>keiyakuid072</vt:lpstr>
      <vt:lpstr>keiyakuid073</vt:lpstr>
      <vt:lpstr>keiyakuid074</vt:lpstr>
      <vt:lpstr>keiyakuid075</vt:lpstr>
      <vt:lpstr>keiyakuid076</vt:lpstr>
      <vt:lpstr>keiyakuid077</vt:lpstr>
      <vt:lpstr>keiyakuid078</vt:lpstr>
      <vt:lpstr>keiyakuid079</vt:lpstr>
      <vt:lpstr>keiyakuid080</vt:lpstr>
      <vt:lpstr>keiyakuid081</vt:lpstr>
      <vt:lpstr>keiyakuid082</vt:lpstr>
      <vt:lpstr>keiyakuid083</vt:lpstr>
      <vt:lpstr>keiyakuid084</vt:lpstr>
      <vt:lpstr>keiyakuid085</vt:lpstr>
      <vt:lpstr>keiyakuid086</vt:lpstr>
      <vt:lpstr>keiyakuid087</vt:lpstr>
      <vt:lpstr>keiyakuid088</vt:lpstr>
      <vt:lpstr>keiyakuid089</vt:lpstr>
      <vt:lpstr>keiyakuid090</vt:lpstr>
      <vt:lpstr>keiyakuid091</vt:lpstr>
      <vt:lpstr>keiyakuid092</vt:lpstr>
      <vt:lpstr>keiyakuid093</vt:lpstr>
      <vt:lpstr>keiyakuid094</vt:lpstr>
      <vt:lpstr>keiyakuid095</vt:lpstr>
      <vt:lpstr>keiyakuid096</vt:lpstr>
      <vt:lpstr>keiyakuid097</vt:lpstr>
      <vt:lpstr>keiyakuid098</vt:lpstr>
      <vt:lpstr>keiyakuid099</vt:lpstr>
      <vt:lpstr>keiyakuid100</vt:lpstr>
      <vt:lpstr>keiyakuid101</vt:lpstr>
      <vt:lpstr>keiyakuid102</vt:lpstr>
      <vt:lpstr>keiyakuid103</vt:lpstr>
      <vt:lpstr>keiyakuid104</vt:lpstr>
      <vt:lpstr>keiyakuid105</vt:lpstr>
      <vt:lpstr>keiyakuid106</vt:lpstr>
      <vt:lpstr>keiyakuid107</vt:lpstr>
      <vt:lpstr>keiyakuid108</vt:lpstr>
      <vt:lpstr>keiyakuid109</vt:lpstr>
      <vt:lpstr>keiyakuid110</vt:lpstr>
      <vt:lpstr>keiyakuid111</vt:lpstr>
      <vt:lpstr>keiyakuid112</vt:lpstr>
      <vt:lpstr>keiyakuid113</vt:lpstr>
      <vt:lpstr>keiyakuid114</vt:lpstr>
      <vt:lpstr>keiyakuid115</vt:lpstr>
      <vt:lpstr>keiyakuid116</vt:lpstr>
      <vt:lpstr>keiyakuid117</vt:lpstr>
      <vt:lpstr>keiyakuid118</vt:lpstr>
      <vt:lpstr>keiyakuid119</vt:lpstr>
      <vt:lpstr>keiyakuid120</vt:lpstr>
      <vt:lpstr>keiyakuid121</vt:lpstr>
      <vt:lpstr>keiyakuid122</vt:lpstr>
      <vt:lpstr>keiyakuid123</vt:lpstr>
      <vt:lpstr>keiyakuid124</vt:lpstr>
      <vt:lpstr>keiyakuid125</vt:lpstr>
      <vt:lpstr>keiyakuid126</vt:lpstr>
      <vt:lpstr>keiyakuid127</vt:lpstr>
      <vt:lpstr>keiyakuid128</vt:lpstr>
      <vt:lpstr>keiyakuid129</vt:lpstr>
      <vt:lpstr>keiyakuid130</vt:lpstr>
      <vt:lpstr>keiyakuid131</vt:lpstr>
      <vt:lpstr>keiyakuid132</vt:lpstr>
      <vt:lpstr>keiyakuid133</vt:lpstr>
      <vt:lpstr>keiyakuid134</vt:lpstr>
      <vt:lpstr>keiyakuid135</vt:lpstr>
      <vt:lpstr>keiyakuid136</vt:lpstr>
      <vt:lpstr>keiyakuid137</vt:lpstr>
      <vt:lpstr>keiyakuid138</vt:lpstr>
      <vt:lpstr>keiyakuid139</vt:lpstr>
      <vt:lpstr>keiyakuid140</vt:lpstr>
      <vt:lpstr>keiyakuid141</vt:lpstr>
      <vt:lpstr>keiyakuid142</vt:lpstr>
      <vt:lpstr>keiyakuid143</vt:lpstr>
      <vt:lpstr>keiyakuid144</vt:lpstr>
      <vt:lpstr>keiyakuid145</vt:lpstr>
      <vt:lpstr>keiyakuid146</vt:lpstr>
      <vt:lpstr>keiyakuid147</vt:lpstr>
      <vt:lpstr>keiyakuid148</vt:lpstr>
      <vt:lpstr>keiyakuid149</vt:lpstr>
      <vt:lpstr>keiyakuid150</vt:lpstr>
      <vt:lpstr>keiyakuid151</vt:lpstr>
      <vt:lpstr>keiyakuid152</vt:lpstr>
      <vt:lpstr>keiyakuid153</vt:lpstr>
      <vt:lpstr>keiyakuid154</vt:lpstr>
      <vt:lpstr>keiyakuid155</vt:lpstr>
      <vt:lpstr>keiyakuid156</vt:lpstr>
      <vt:lpstr>keiyakuid157</vt:lpstr>
      <vt:lpstr>keiyakuid158</vt:lpstr>
      <vt:lpstr>keiyakuid159</vt:lpstr>
      <vt:lpstr>keiyakuid160</vt:lpstr>
      <vt:lpstr>keiyakuid161</vt:lpstr>
      <vt:lpstr>keiyakuid162</vt:lpstr>
      <vt:lpstr>keiyakuid163</vt:lpstr>
      <vt:lpstr>keiyakuid164</vt:lpstr>
      <vt:lpstr>keiyakuid165</vt:lpstr>
      <vt:lpstr>keiyakuid166</vt:lpstr>
      <vt:lpstr>keiyakuid167</vt:lpstr>
      <vt:lpstr>keiyakuid168</vt:lpstr>
      <vt:lpstr>keiyakuid169</vt:lpstr>
      <vt:lpstr>keiyakuid170</vt:lpstr>
      <vt:lpstr>keiyakuid171</vt:lpstr>
      <vt:lpstr>keiyakuid172</vt:lpstr>
      <vt:lpstr>keiyakuid173</vt:lpstr>
      <vt:lpstr>keiyakuid174</vt:lpstr>
      <vt:lpstr>keiyakuid175</vt:lpstr>
      <vt:lpstr>keiyakuid176</vt:lpstr>
      <vt:lpstr>keiyakuid177</vt:lpstr>
      <vt:lpstr>keiyakuid178</vt:lpstr>
      <vt:lpstr>keiyakuid179</vt:lpstr>
      <vt:lpstr>keiyakuid180</vt:lpstr>
      <vt:lpstr>keiyakuid181</vt:lpstr>
      <vt:lpstr>keiyakuid182</vt:lpstr>
      <vt:lpstr>keiyakuid183</vt:lpstr>
      <vt:lpstr>keiyakuid184</vt:lpstr>
      <vt:lpstr>keiyakuid185</vt:lpstr>
      <vt:lpstr>keiyakuid186</vt:lpstr>
      <vt:lpstr>keiyakuid187</vt:lpstr>
      <vt:lpstr>keiyakuid188</vt:lpstr>
      <vt:lpstr>keiyakuid189</vt:lpstr>
      <vt:lpstr>keiyakuid190</vt:lpstr>
      <vt:lpstr>keiyakuid191</vt:lpstr>
      <vt:lpstr>keiyakuid192</vt:lpstr>
      <vt:lpstr>keiyakuid193</vt:lpstr>
      <vt:lpstr>keiyakuid194</vt:lpstr>
      <vt:lpstr>keiyakuid195</vt:lpstr>
      <vt:lpstr>keiyakuid196</vt:lpstr>
      <vt:lpstr>keiyakuid197</vt:lpstr>
      <vt:lpstr>keiyakuid198</vt:lpstr>
      <vt:lpstr>keiyakuid199</vt:lpstr>
      <vt:lpstr>keiyakuid200</vt:lpstr>
      <vt:lpstr>keiyakuid201</vt:lpstr>
      <vt:lpstr>keiyakuid202</vt:lpstr>
      <vt:lpstr>keiyakuid203</vt:lpstr>
      <vt:lpstr>keiyakuid204</vt:lpstr>
      <vt:lpstr>keiyakuid205</vt:lpstr>
      <vt:lpstr>keiyakuid206</vt:lpstr>
      <vt:lpstr>keiyakuid207</vt:lpstr>
      <vt:lpstr>keiyakuid208</vt:lpstr>
      <vt:lpstr>keiyakuid209</vt:lpstr>
      <vt:lpstr>keiyakuid210</vt:lpstr>
      <vt:lpstr>keiyakuid211</vt:lpstr>
      <vt:lpstr>keiyakuid212</vt:lpstr>
      <vt:lpstr>keiyakuid213</vt:lpstr>
      <vt:lpstr>keiyakuid214</vt:lpstr>
      <vt:lpstr>keiyakuid215</vt:lpstr>
      <vt:lpstr>keiyakuid216</vt:lpstr>
      <vt:lpstr>keiyakuid217</vt:lpstr>
      <vt:lpstr>keiyakuid218</vt:lpstr>
      <vt:lpstr>keiyakuid219</vt:lpstr>
      <vt:lpstr>keiyakuid220</vt:lpstr>
      <vt:lpstr>keiyakuid221</vt:lpstr>
      <vt:lpstr>keiyakuid222</vt:lpstr>
      <vt:lpstr>keiyakuid223</vt:lpstr>
      <vt:lpstr>keiyakuid224</vt:lpstr>
      <vt:lpstr>keiyakuid225</vt:lpstr>
      <vt:lpstr>keiyakuid226</vt:lpstr>
      <vt:lpstr>keiyakuid227</vt:lpstr>
      <vt:lpstr>keiyakuid228</vt:lpstr>
      <vt:lpstr>keiyakuid229</vt:lpstr>
      <vt:lpstr>keiyakuid230</vt:lpstr>
      <vt:lpstr>keiyakuid231</vt:lpstr>
      <vt:lpstr>keiyakuid232</vt:lpstr>
      <vt:lpstr>keiyakuid233</vt:lpstr>
      <vt:lpstr>keiyakuid234</vt:lpstr>
      <vt:lpstr>keiyakuid235</vt:lpstr>
      <vt:lpstr>keiyakuid236</vt:lpstr>
      <vt:lpstr>keiyakuid237</vt:lpstr>
      <vt:lpstr>keiyakuid238</vt:lpstr>
      <vt:lpstr>keiyakuid239</vt:lpstr>
      <vt:lpstr>keiyakuid240</vt:lpstr>
      <vt:lpstr>keiyakuid241</vt:lpstr>
      <vt:lpstr>keiyakuid242</vt:lpstr>
      <vt:lpstr>keiyakuid243</vt:lpstr>
      <vt:lpstr>keiyakuid244</vt:lpstr>
      <vt:lpstr>keiyakuid245</vt:lpstr>
      <vt:lpstr>keiyakuid246</vt:lpstr>
      <vt:lpstr>keiyakuid247</vt:lpstr>
      <vt:lpstr>keiyakuid248</vt:lpstr>
      <vt:lpstr>keiyakuid249</vt:lpstr>
      <vt:lpstr>keiyakuid250</vt:lpstr>
      <vt:lpstr>keiyakuid251</vt:lpstr>
      <vt:lpstr>keiyakuid252</vt:lpstr>
      <vt:lpstr>keiyakuid253</vt:lpstr>
      <vt:lpstr>keiyakuid254</vt:lpstr>
      <vt:lpstr>keiyakuid255</vt:lpstr>
      <vt:lpstr>keiyakuid256</vt:lpstr>
      <vt:lpstr>keiyakuid257</vt:lpstr>
      <vt:lpstr>keiyakuid258</vt:lpstr>
      <vt:lpstr>keiyakuid259</vt:lpstr>
      <vt:lpstr>keiyakuid260</vt:lpstr>
      <vt:lpstr>keiyakuid261</vt:lpstr>
      <vt:lpstr>keiyakuid262</vt:lpstr>
      <vt:lpstr>keiyakuid263</vt:lpstr>
      <vt:lpstr>keiyakuid264</vt:lpstr>
      <vt:lpstr>keiyakuid265</vt:lpstr>
      <vt:lpstr>keiyakuid266</vt:lpstr>
      <vt:lpstr>keiyakuid267</vt:lpstr>
      <vt:lpstr>keiyakuid268</vt:lpstr>
      <vt:lpstr>keiyakuid269</vt:lpstr>
      <vt:lpstr>keiyakuid270</vt:lpstr>
      <vt:lpstr>keiyakuid271</vt:lpstr>
      <vt:lpstr>keiyakuid272</vt:lpstr>
      <vt:lpstr>keiyakuid273</vt:lpstr>
      <vt:lpstr>keiyakuid274</vt:lpstr>
      <vt:lpstr>keiyakuid275</vt:lpstr>
      <vt:lpstr>keiyakuid276</vt:lpstr>
      <vt:lpstr>keiyakuid277</vt:lpstr>
      <vt:lpstr>keiyakuid278</vt:lpstr>
      <vt:lpstr>keiyakuid279</vt:lpstr>
      <vt:lpstr>keiyakuid280</vt:lpstr>
      <vt:lpstr>keiyakuid281</vt:lpstr>
      <vt:lpstr>keiyakuid282</vt:lpstr>
      <vt:lpstr>keiyakuid283</vt:lpstr>
      <vt:lpstr>keiyakuid284</vt:lpstr>
      <vt:lpstr>keiyakuid285</vt:lpstr>
      <vt:lpstr>keiyakuid286</vt:lpstr>
      <vt:lpstr>keiyakuid287</vt:lpstr>
      <vt:lpstr>keiyakuid288</vt:lpstr>
      <vt:lpstr>keiyakuid289</vt:lpstr>
      <vt:lpstr>keiyakuid290</vt:lpstr>
      <vt:lpstr>keiyakuid291</vt:lpstr>
      <vt:lpstr>keiyakuid292</vt:lpstr>
      <vt:lpstr>keiyakuid293</vt:lpstr>
      <vt:lpstr>keiyakuid294</vt:lpstr>
      <vt:lpstr>keiyakuid295</vt:lpstr>
      <vt:lpstr>keiyakuid296</vt:lpstr>
      <vt:lpstr>keiyakuid297</vt:lpstr>
      <vt:lpstr>keiyakuid298</vt:lpstr>
      <vt:lpstr>keiyakuid299</vt:lpstr>
      <vt:lpstr>keiyakuid300</vt:lpstr>
      <vt:lpstr>keiyakuid301</vt:lpstr>
      <vt:lpstr>keiyakuid302</vt:lpstr>
      <vt:lpstr>keiyakuid303</vt:lpstr>
      <vt:lpstr>keiyakuid304</vt:lpstr>
      <vt:lpstr>keiyakuid305</vt:lpstr>
      <vt:lpstr>keiyakuid306</vt:lpstr>
      <vt:lpstr>keiyakuid307</vt:lpstr>
      <vt:lpstr>keiyakuid308</vt:lpstr>
      <vt:lpstr>keiyakuid309</vt:lpstr>
      <vt:lpstr>keiyakuid310</vt:lpstr>
      <vt:lpstr>keiyakuid311</vt:lpstr>
      <vt:lpstr>keiyakuid312</vt:lpstr>
      <vt:lpstr>keiyakuid313</vt:lpstr>
      <vt:lpstr>keiyakuid314</vt:lpstr>
      <vt:lpstr>keiyakuid315</vt:lpstr>
      <vt:lpstr>keiyakuid316</vt:lpstr>
      <vt:lpstr>keiyakuid317</vt:lpstr>
      <vt:lpstr>keiyakuid318</vt:lpstr>
      <vt:lpstr>keiyakuid319</vt:lpstr>
      <vt:lpstr>keiyakuid320</vt:lpstr>
      <vt:lpstr>keiyakuid321</vt:lpstr>
      <vt:lpstr>keiyakuid322</vt:lpstr>
      <vt:lpstr>keiyakuid323</vt:lpstr>
      <vt:lpstr>keiyakuid324</vt:lpstr>
      <vt:lpstr>keiyakuid325</vt:lpstr>
      <vt:lpstr>keiyakuid326</vt:lpstr>
      <vt:lpstr>keiyakuid327</vt:lpstr>
      <vt:lpstr>keiyakuid328</vt:lpstr>
      <vt:lpstr>keiyakuid329</vt:lpstr>
      <vt:lpstr>keiyakuid330</vt:lpstr>
      <vt:lpstr>keiyakuid331</vt:lpstr>
      <vt:lpstr>keiyakuid332</vt:lpstr>
      <vt:lpstr>keiyakuid333</vt:lpstr>
      <vt:lpstr>keiyakuid334</vt:lpstr>
      <vt:lpstr>keiyakuid335</vt:lpstr>
      <vt:lpstr>keiyakuid336</vt:lpstr>
      <vt:lpstr>keiyakuid337</vt:lpstr>
      <vt:lpstr>keiyakuid338</vt:lpstr>
      <vt:lpstr>keiyakuid339</vt:lpstr>
      <vt:lpstr>keiyakuid340</vt:lpstr>
      <vt:lpstr>keiyakuid341</vt:lpstr>
      <vt:lpstr>keiyakuid342</vt:lpstr>
      <vt:lpstr>keiyakuid343</vt:lpstr>
      <vt:lpstr>keiyakuid344</vt:lpstr>
      <vt:lpstr>keiyakuid345</vt:lpstr>
      <vt:lpstr>keiyakuid346</vt:lpstr>
      <vt:lpstr>keiyakuid347</vt:lpstr>
      <vt:lpstr>keiyakuid348</vt:lpstr>
      <vt:lpstr>keiyakuid349</vt:lpstr>
      <vt:lpstr>keiyakuid350</vt:lpstr>
      <vt:lpstr>keiyakuid351</vt:lpstr>
      <vt:lpstr>keiyakuid352</vt:lpstr>
      <vt:lpstr>keiyakuid353</vt:lpstr>
      <vt:lpstr>keiyakuid354</vt:lpstr>
      <vt:lpstr>keiyakuid355</vt:lpstr>
      <vt:lpstr>keiyakuid356</vt:lpstr>
      <vt:lpstr>keiyakuid357</vt:lpstr>
      <vt:lpstr>keiyakuid358</vt:lpstr>
      <vt:lpstr>keiyakuid359</vt:lpstr>
      <vt:lpstr>keiyakuid360</vt:lpstr>
      <vt:lpstr>keiyakuid361</vt:lpstr>
      <vt:lpstr>keiyakuid362</vt:lpstr>
      <vt:lpstr>keiyakuid363</vt:lpstr>
      <vt:lpstr>keiyakuid364</vt:lpstr>
      <vt:lpstr>keiyakuid365</vt:lpstr>
      <vt:lpstr>keiyakuid366</vt:lpstr>
      <vt:lpstr>keiyakuid367</vt:lpstr>
      <vt:lpstr>keiyakuid368</vt:lpstr>
      <vt:lpstr>keiyakuid369</vt:lpstr>
      <vt:lpstr>keiyakuid370</vt:lpstr>
      <vt:lpstr>keiyakuid371</vt:lpstr>
      <vt:lpstr>keiyakuid372</vt:lpstr>
      <vt:lpstr>keiyakuid373</vt:lpstr>
      <vt:lpstr>keiyakuid374</vt:lpstr>
      <vt:lpstr>keiyakuid375</vt:lpstr>
      <vt:lpstr>keiyakuid376</vt:lpstr>
      <vt:lpstr>keiyakuid377</vt:lpstr>
      <vt:lpstr>keiyakuid378</vt:lpstr>
      <vt:lpstr>keiyakuid379</vt:lpstr>
      <vt:lpstr>keiyakuid380</vt:lpstr>
      <vt:lpstr>keiyakuid381</vt:lpstr>
      <vt:lpstr>keiyakuid382</vt:lpstr>
      <vt:lpstr>keiyakuid383</vt:lpstr>
      <vt:lpstr>keiyakuid384</vt:lpstr>
      <vt:lpstr>keiyakuid385</vt:lpstr>
      <vt:lpstr>keiyakuid386</vt:lpstr>
      <vt:lpstr>keiyakuid387</vt:lpstr>
      <vt:lpstr>keiyakuid388</vt:lpstr>
      <vt:lpstr>keiyakuid389</vt:lpstr>
      <vt:lpstr>keiyakuid390</vt:lpstr>
      <vt:lpstr>keiyakuid391</vt:lpstr>
      <vt:lpstr>keiyakuid392</vt:lpstr>
      <vt:lpstr>keiyakuid393</vt:lpstr>
      <vt:lpstr>keiyakuid394</vt:lpstr>
      <vt:lpstr>keiyakuid395</vt:lpstr>
      <vt:lpstr>keiyakuid396</vt:lpstr>
      <vt:lpstr>keiyakuid397</vt:lpstr>
      <vt:lpstr>keiyakuid398</vt:lpstr>
      <vt:lpstr>keiyakuid399</vt:lpstr>
      <vt:lpstr>keiyakuid400</vt:lpstr>
      <vt:lpstr>keiyakuid401</vt:lpstr>
      <vt:lpstr>keiyakuid402</vt:lpstr>
      <vt:lpstr>keiyakuid403</vt:lpstr>
      <vt:lpstr>keiyakuid404</vt:lpstr>
      <vt:lpstr>keiyakuid405</vt:lpstr>
      <vt:lpstr>keiyakuid406</vt:lpstr>
      <vt:lpstr>keiyakuid407</vt:lpstr>
      <vt:lpstr>keiyakuid408</vt:lpstr>
      <vt:lpstr>keiyakuid409</vt:lpstr>
      <vt:lpstr>keiyakuid410</vt:lpstr>
      <vt:lpstr>keiyakuid411</vt:lpstr>
      <vt:lpstr>keiyakuid412</vt:lpstr>
      <vt:lpstr>keiyakuid413</vt:lpstr>
      <vt:lpstr>keiyakuid414</vt:lpstr>
      <vt:lpstr>keiyakuid415</vt:lpstr>
      <vt:lpstr>keiyakuid416</vt:lpstr>
      <vt:lpstr>keiyakuid417</vt:lpstr>
      <vt:lpstr>keiyakuid418</vt:lpstr>
      <vt:lpstr>keiyakuid419</vt:lpstr>
      <vt:lpstr>keiyakuid420</vt:lpstr>
      <vt:lpstr>keiyakuid421</vt:lpstr>
      <vt:lpstr>keiyakuid422</vt:lpstr>
      <vt:lpstr>keiyakuid423</vt:lpstr>
      <vt:lpstr>keiyakuid424</vt:lpstr>
      <vt:lpstr>keiyakuid425</vt:lpstr>
      <vt:lpstr>keiyakuid426</vt:lpstr>
      <vt:lpstr>keiyakuid427</vt:lpstr>
      <vt:lpstr>keiyakuid428</vt:lpstr>
      <vt:lpstr>keiyakuid429</vt:lpstr>
      <vt:lpstr>keiyakuid430</vt:lpstr>
      <vt:lpstr>keiyakuid431</vt:lpstr>
      <vt:lpstr>keiyakuid432</vt:lpstr>
      <vt:lpstr>keiyakuid433</vt:lpstr>
      <vt:lpstr>keiyakuid434</vt:lpstr>
      <vt:lpstr>keiyakuid435</vt:lpstr>
      <vt:lpstr>keiyakuid436</vt:lpstr>
      <vt:lpstr>keiyakuid437</vt:lpstr>
      <vt:lpstr>keiyakuid438</vt:lpstr>
      <vt:lpstr>keiyakuid439</vt:lpstr>
      <vt:lpstr>keiyakuid440</vt:lpstr>
      <vt:lpstr>keiyakuid441</vt:lpstr>
      <vt:lpstr>keiyakuid442</vt:lpstr>
      <vt:lpstr>keiyakuid443</vt:lpstr>
      <vt:lpstr>keiyakuid444</vt:lpstr>
      <vt:lpstr>keiyakuid445</vt:lpstr>
      <vt:lpstr>keiyakuid446</vt:lpstr>
      <vt:lpstr>keiyakuid447</vt:lpstr>
      <vt:lpstr>keiyakuid448</vt:lpstr>
      <vt:lpstr>keiyakuid449</vt:lpstr>
      <vt:lpstr>keiyakuid450</vt:lpstr>
      <vt:lpstr>keiyakuid451</vt:lpstr>
      <vt:lpstr>keiyakuid452</vt:lpstr>
      <vt:lpstr>keiyakuid453</vt:lpstr>
      <vt:lpstr>keiyakuid454</vt:lpstr>
      <vt:lpstr>keiyakuid455</vt:lpstr>
      <vt:lpstr>keiyakuid456</vt:lpstr>
      <vt:lpstr>keiyakuid457</vt:lpstr>
      <vt:lpstr>keiyakuid458</vt:lpstr>
      <vt:lpstr>keiyakuid459</vt:lpstr>
      <vt:lpstr>keiyakuid460</vt:lpstr>
      <vt:lpstr>keiyakuid461</vt:lpstr>
      <vt:lpstr>keiyakuid462</vt:lpstr>
      <vt:lpstr>keiyakuid463</vt:lpstr>
      <vt:lpstr>keiyakuid464</vt:lpstr>
      <vt:lpstr>keiyakuid465</vt:lpstr>
      <vt:lpstr>keiyakuid466</vt:lpstr>
      <vt:lpstr>keiyakuid467</vt:lpstr>
      <vt:lpstr>keiyakuid468</vt:lpstr>
      <vt:lpstr>keiyakuid469</vt:lpstr>
      <vt:lpstr>keiyakuid470</vt:lpstr>
      <vt:lpstr>keiyakuid471</vt:lpstr>
      <vt:lpstr>keiyakuid472</vt:lpstr>
      <vt:lpstr>keiyakuid473</vt:lpstr>
      <vt:lpstr>keiyakuid474</vt:lpstr>
      <vt:lpstr>keiyakuid475</vt:lpstr>
      <vt:lpstr>keiyakuid476</vt:lpstr>
      <vt:lpstr>keiyakuid477</vt:lpstr>
      <vt:lpstr>keiyakuid478</vt:lpstr>
      <vt:lpstr>keiyakuid479</vt:lpstr>
      <vt:lpstr>keiyakuid480</vt:lpstr>
      <vt:lpstr>keiyakuid481</vt:lpstr>
      <vt:lpstr>keiyakuid482</vt:lpstr>
      <vt:lpstr>keiyakuid483</vt:lpstr>
      <vt:lpstr>keiyakuid484</vt:lpstr>
      <vt:lpstr>keiyakuid485</vt:lpstr>
      <vt:lpstr>keiyakuid486</vt:lpstr>
      <vt:lpstr>keiyakuid487</vt:lpstr>
      <vt:lpstr>keiyakuid488</vt:lpstr>
      <vt:lpstr>keiyakuid489</vt:lpstr>
      <vt:lpstr>keiyakuid490</vt:lpstr>
      <vt:lpstr>keiyakuid491</vt:lpstr>
      <vt:lpstr>keiyakuid492</vt:lpstr>
      <vt:lpstr>keiyakuid493</vt:lpstr>
      <vt:lpstr>keiyakuid494</vt:lpstr>
      <vt:lpstr>keiyakuid495</vt:lpstr>
      <vt:lpstr>keiyakuid496</vt:lpstr>
      <vt:lpstr>keiyakuid497</vt:lpstr>
      <vt:lpstr>keiyakuid498</vt:lpstr>
      <vt:lpstr>keiyakuid499</vt:lpstr>
      <vt:lpstr>keiyakuid500</vt:lpstr>
      <vt:lpstr>【記載例】新規お申込書!Print_Area</vt:lpstr>
      <vt:lpstr>新規お申込書!Print_Area</vt:lpstr>
      <vt:lpstr>salesChannelDeptName</vt:lpstr>
      <vt:lpstr>salesChannelMailAddress</vt:lpstr>
      <vt:lpstr>salesChannelPersonName</vt:lpstr>
      <vt:lpstr>salesChannelPhoneNumber</vt:lpstr>
      <vt:lpstr>shubetsu001</vt:lpstr>
      <vt:lpstr>shubetsu002</vt:lpstr>
      <vt:lpstr>shubetsu003</vt:lpstr>
      <vt:lpstr>shubetsu004</vt:lpstr>
      <vt:lpstr>shubetsu005</vt:lpstr>
      <vt:lpstr>shubetsu006</vt:lpstr>
      <vt:lpstr>shubetsu007</vt:lpstr>
      <vt:lpstr>shubetsu008</vt:lpstr>
      <vt:lpstr>shubetsu009</vt:lpstr>
      <vt:lpstr>shubetsu010</vt:lpstr>
      <vt:lpstr>shubetsu011</vt:lpstr>
      <vt:lpstr>shubetsu012</vt:lpstr>
      <vt:lpstr>shubetsu013</vt:lpstr>
      <vt:lpstr>shubetsu014</vt:lpstr>
      <vt:lpstr>shubetsu015</vt:lpstr>
      <vt:lpstr>shubetsu016</vt:lpstr>
      <vt:lpstr>shubetsu017</vt:lpstr>
      <vt:lpstr>shubetsu018</vt:lpstr>
      <vt:lpstr>shubetsu019</vt:lpstr>
      <vt:lpstr>shubetsu020</vt:lpstr>
      <vt:lpstr>shubetsu021</vt:lpstr>
      <vt:lpstr>shubetsu022</vt:lpstr>
      <vt:lpstr>shubetsu023</vt:lpstr>
      <vt:lpstr>shubetsu024</vt:lpstr>
      <vt:lpstr>shubetsu025</vt:lpstr>
      <vt:lpstr>shubetsu026</vt:lpstr>
      <vt:lpstr>shubetsu027</vt:lpstr>
      <vt:lpstr>shubetsu028</vt:lpstr>
      <vt:lpstr>shubetsu029</vt:lpstr>
      <vt:lpstr>shubetsu030</vt:lpstr>
      <vt:lpstr>shubetsu031</vt:lpstr>
      <vt:lpstr>shubetsu032</vt:lpstr>
      <vt:lpstr>shubetsu033</vt:lpstr>
      <vt:lpstr>shubetsu034</vt:lpstr>
      <vt:lpstr>shubetsu035</vt:lpstr>
      <vt:lpstr>shubetsu036</vt:lpstr>
      <vt:lpstr>shubetsu037</vt:lpstr>
      <vt:lpstr>shubetsu038</vt:lpstr>
      <vt:lpstr>shubetsu039</vt:lpstr>
      <vt:lpstr>shubetsu040</vt:lpstr>
      <vt:lpstr>shubetsu041</vt:lpstr>
      <vt:lpstr>shubetsu042</vt:lpstr>
      <vt:lpstr>shubetsu043</vt:lpstr>
      <vt:lpstr>shubetsu044</vt:lpstr>
      <vt:lpstr>shubetsu045</vt:lpstr>
      <vt:lpstr>shubetsu046</vt:lpstr>
      <vt:lpstr>shubetsu047</vt:lpstr>
      <vt:lpstr>shubetsu048</vt:lpstr>
      <vt:lpstr>shubetsu049</vt:lpstr>
      <vt:lpstr>shubetsu050</vt:lpstr>
      <vt:lpstr>shubetsu051</vt:lpstr>
      <vt:lpstr>shubetsu052</vt:lpstr>
      <vt:lpstr>shubetsu053</vt:lpstr>
      <vt:lpstr>shubetsu054</vt:lpstr>
      <vt:lpstr>shubetsu055</vt:lpstr>
      <vt:lpstr>shubetsu056</vt:lpstr>
      <vt:lpstr>shubetsu057</vt:lpstr>
      <vt:lpstr>shubetsu058</vt:lpstr>
      <vt:lpstr>shubetsu059</vt:lpstr>
      <vt:lpstr>shubetsu060</vt:lpstr>
      <vt:lpstr>shubetsu061</vt:lpstr>
      <vt:lpstr>shubetsu062</vt:lpstr>
      <vt:lpstr>shubetsu063</vt:lpstr>
      <vt:lpstr>shubetsu064</vt:lpstr>
      <vt:lpstr>shubetsu065</vt:lpstr>
      <vt:lpstr>shubetsu066</vt:lpstr>
      <vt:lpstr>shubetsu067</vt:lpstr>
      <vt:lpstr>shubetsu068</vt:lpstr>
      <vt:lpstr>shubetsu069</vt:lpstr>
      <vt:lpstr>shubetsu070</vt:lpstr>
      <vt:lpstr>shubetsu071</vt:lpstr>
      <vt:lpstr>shubetsu072</vt:lpstr>
      <vt:lpstr>shubetsu073</vt:lpstr>
      <vt:lpstr>shubetsu074</vt:lpstr>
      <vt:lpstr>shubetsu075</vt:lpstr>
      <vt:lpstr>shubetsu076</vt:lpstr>
      <vt:lpstr>shubetsu077</vt:lpstr>
      <vt:lpstr>shubetsu078</vt:lpstr>
      <vt:lpstr>shubetsu079</vt:lpstr>
      <vt:lpstr>shubetsu080</vt:lpstr>
      <vt:lpstr>shubetsu081</vt:lpstr>
      <vt:lpstr>shubetsu082</vt:lpstr>
      <vt:lpstr>shubetsu083</vt:lpstr>
      <vt:lpstr>shubetsu084</vt:lpstr>
      <vt:lpstr>shubetsu085</vt:lpstr>
      <vt:lpstr>shubetsu086</vt:lpstr>
      <vt:lpstr>shubetsu087</vt:lpstr>
      <vt:lpstr>shubetsu088</vt:lpstr>
      <vt:lpstr>shubetsu089</vt:lpstr>
      <vt:lpstr>shubetsu090</vt:lpstr>
      <vt:lpstr>shubetsu091</vt:lpstr>
      <vt:lpstr>shubetsu092</vt:lpstr>
      <vt:lpstr>shubetsu093</vt:lpstr>
      <vt:lpstr>shubetsu094</vt:lpstr>
      <vt:lpstr>shubetsu095</vt:lpstr>
      <vt:lpstr>shubetsu096</vt:lpstr>
      <vt:lpstr>shubetsu097</vt:lpstr>
      <vt:lpstr>shubetsu098</vt:lpstr>
      <vt:lpstr>shubetsu099</vt:lpstr>
      <vt:lpstr>shubetsu100</vt:lpstr>
      <vt:lpstr>shubetsu101</vt:lpstr>
      <vt:lpstr>shubetsu102</vt:lpstr>
      <vt:lpstr>shubetsu103</vt:lpstr>
      <vt:lpstr>shubetsu104</vt:lpstr>
      <vt:lpstr>shubetsu105</vt:lpstr>
      <vt:lpstr>shubetsu106</vt:lpstr>
      <vt:lpstr>shubetsu107</vt:lpstr>
      <vt:lpstr>shubetsu108</vt:lpstr>
      <vt:lpstr>shubetsu109</vt:lpstr>
      <vt:lpstr>shubetsu110</vt:lpstr>
      <vt:lpstr>shubetsu111</vt:lpstr>
      <vt:lpstr>shubetsu112</vt:lpstr>
      <vt:lpstr>shubetsu113</vt:lpstr>
      <vt:lpstr>shubetsu114</vt:lpstr>
      <vt:lpstr>shubetsu115</vt:lpstr>
      <vt:lpstr>shubetsu116</vt:lpstr>
      <vt:lpstr>shubetsu117</vt:lpstr>
      <vt:lpstr>shubetsu118</vt:lpstr>
      <vt:lpstr>shubetsu119</vt:lpstr>
      <vt:lpstr>shubetsu120</vt:lpstr>
      <vt:lpstr>shubetsu121</vt:lpstr>
      <vt:lpstr>shubetsu122</vt:lpstr>
      <vt:lpstr>shubetsu123</vt:lpstr>
      <vt:lpstr>shubetsu124</vt:lpstr>
      <vt:lpstr>shubetsu125</vt:lpstr>
      <vt:lpstr>shubetsu126</vt:lpstr>
      <vt:lpstr>shubetsu127</vt:lpstr>
      <vt:lpstr>shubetsu128</vt:lpstr>
      <vt:lpstr>shubetsu129</vt:lpstr>
      <vt:lpstr>shubetsu130</vt:lpstr>
      <vt:lpstr>shubetsu131</vt:lpstr>
      <vt:lpstr>shubetsu132</vt:lpstr>
      <vt:lpstr>shubetsu133</vt:lpstr>
      <vt:lpstr>shubetsu134</vt:lpstr>
      <vt:lpstr>shubetsu135</vt:lpstr>
      <vt:lpstr>shubetsu136</vt:lpstr>
      <vt:lpstr>shubetsu137</vt:lpstr>
      <vt:lpstr>shubetsu138</vt:lpstr>
      <vt:lpstr>shubetsu139</vt:lpstr>
      <vt:lpstr>shubetsu140</vt:lpstr>
      <vt:lpstr>shubetsu141</vt:lpstr>
      <vt:lpstr>shubetsu142</vt:lpstr>
      <vt:lpstr>shubetsu143</vt:lpstr>
      <vt:lpstr>shubetsu144</vt:lpstr>
      <vt:lpstr>shubetsu145</vt:lpstr>
      <vt:lpstr>shubetsu146</vt:lpstr>
      <vt:lpstr>shubetsu147</vt:lpstr>
      <vt:lpstr>shubetsu148</vt:lpstr>
      <vt:lpstr>shubetsu149</vt:lpstr>
      <vt:lpstr>shubetsu150</vt:lpstr>
      <vt:lpstr>shubetsu151</vt:lpstr>
      <vt:lpstr>shubetsu152</vt:lpstr>
      <vt:lpstr>shubetsu153</vt:lpstr>
      <vt:lpstr>shubetsu154</vt:lpstr>
      <vt:lpstr>shubetsu155</vt:lpstr>
      <vt:lpstr>shubetsu156</vt:lpstr>
      <vt:lpstr>shubetsu157</vt:lpstr>
      <vt:lpstr>shubetsu158</vt:lpstr>
      <vt:lpstr>shubetsu159</vt:lpstr>
      <vt:lpstr>shubetsu160</vt:lpstr>
      <vt:lpstr>shubetsu161</vt:lpstr>
      <vt:lpstr>shubetsu162</vt:lpstr>
      <vt:lpstr>shubetsu163</vt:lpstr>
      <vt:lpstr>shubetsu164</vt:lpstr>
      <vt:lpstr>shubetsu165</vt:lpstr>
      <vt:lpstr>shubetsu166</vt:lpstr>
      <vt:lpstr>shubetsu167</vt:lpstr>
      <vt:lpstr>shubetsu168</vt:lpstr>
      <vt:lpstr>shubetsu169</vt:lpstr>
      <vt:lpstr>shubetsu170</vt:lpstr>
      <vt:lpstr>shubetsu171</vt:lpstr>
      <vt:lpstr>shubetsu172</vt:lpstr>
      <vt:lpstr>shubetsu173</vt:lpstr>
      <vt:lpstr>shubetsu174</vt:lpstr>
      <vt:lpstr>shubetsu175</vt:lpstr>
      <vt:lpstr>shubetsu176</vt:lpstr>
      <vt:lpstr>shubetsu177</vt:lpstr>
      <vt:lpstr>shubetsu178</vt:lpstr>
      <vt:lpstr>shubetsu179</vt:lpstr>
      <vt:lpstr>shubetsu180</vt:lpstr>
      <vt:lpstr>shubetsu181</vt:lpstr>
      <vt:lpstr>shubetsu182</vt:lpstr>
      <vt:lpstr>shubetsu183</vt:lpstr>
      <vt:lpstr>shubetsu184</vt:lpstr>
      <vt:lpstr>shubetsu185</vt:lpstr>
      <vt:lpstr>shubetsu186</vt:lpstr>
      <vt:lpstr>shubetsu187</vt:lpstr>
      <vt:lpstr>shubetsu188</vt:lpstr>
      <vt:lpstr>shubetsu189</vt:lpstr>
      <vt:lpstr>shubetsu190</vt:lpstr>
      <vt:lpstr>shubetsu191</vt:lpstr>
      <vt:lpstr>shubetsu192</vt:lpstr>
      <vt:lpstr>shubetsu193</vt:lpstr>
      <vt:lpstr>shubetsu194</vt:lpstr>
      <vt:lpstr>shubetsu195</vt:lpstr>
      <vt:lpstr>shubetsu196</vt:lpstr>
      <vt:lpstr>shubetsu197</vt:lpstr>
      <vt:lpstr>shubetsu198</vt:lpstr>
      <vt:lpstr>shubetsu199</vt:lpstr>
      <vt:lpstr>shubetsu200</vt:lpstr>
      <vt:lpstr>shubetsu201</vt:lpstr>
      <vt:lpstr>shubetsu202</vt:lpstr>
      <vt:lpstr>shubetsu203</vt:lpstr>
      <vt:lpstr>shubetsu204</vt:lpstr>
      <vt:lpstr>shubetsu205</vt:lpstr>
      <vt:lpstr>shubetsu206</vt:lpstr>
      <vt:lpstr>shubetsu207</vt:lpstr>
      <vt:lpstr>shubetsu208</vt:lpstr>
      <vt:lpstr>shubetsu209</vt:lpstr>
      <vt:lpstr>shubetsu210</vt:lpstr>
      <vt:lpstr>shubetsu211</vt:lpstr>
      <vt:lpstr>shubetsu212</vt:lpstr>
      <vt:lpstr>shubetsu213</vt:lpstr>
      <vt:lpstr>shubetsu214</vt:lpstr>
      <vt:lpstr>shubetsu215</vt:lpstr>
      <vt:lpstr>shubetsu216</vt:lpstr>
      <vt:lpstr>shubetsu217</vt:lpstr>
      <vt:lpstr>shubetsu218</vt:lpstr>
      <vt:lpstr>shubetsu219</vt:lpstr>
      <vt:lpstr>shubetsu220</vt:lpstr>
      <vt:lpstr>shubetsu221</vt:lpstr>
      <vt:lpstr>shubetsu222</vt:lpstr>
      <vt:lpstr>shubetsu223</vt:lpstr>
      <vt:lpstr>shubetsu224</vt:lpstr>
      <vt:lpstr>shubetsu225</vt:lpstr>
      <vt:lpstr>shubetsu226</vt:lpstr>
      <vt:lpstr>shubetsu227</vt:lpstr>
      <vt:lpstr>shubetsu228</vt:lpstr>
      <vt:lpstr>shubetsu229</vt:lpstr>
      <vt:lpstr>shubetsu230</vt:lpstr>
      <vt:lpstr>shubetsu231</vt:lpstr>
      <vt:lpstr>shubetsu232</vt:lpstr>
      <vt:lpstr>shubetsu233</vt:lpstr>
      <vt:lpstr>shubetsu234</vt:lpstr>
      <vt:lpstr>shubetsu235</vt:lpstr>
      <vt:lpstr>shubetsu236</vt:lpstr>
      <vt:lpstr>shubetsu237</vt:lpstr>
      <vt:lpstr>shubetsu238</vt:lpstr>
      <vt:lpstr>shubetsu239</vt:lpstr>
      <vt:lpstr>shubetsu240</vt:lpstr>
      <vt:lpstr>shubetsu241</vt:lpstr>
      <vt:lpstr>shubetsu242</vt:lpstr>
      <vt:lpstr>shubetsu243</vt:lpstr>
      <vt:lpstr>shubetsu244</vt:lpstr>
      <vt:lpstr>shubetsu245</vt:lpstr>
      <vt:lpstr>shubetsu246</vt:lpstr>
      <vt:lpstr>shubetsu247</vt:lpstr>
      <vt:lpstr>shubetsu248</vt:lpstr>
      <vt:lpstr>shubetsu249</vt:lpstr>
      <vt:lpstr>shubetsu250</vt:lpstr>
      <vt:lpstr>shubetsu251</vt:lpstr>
      <vt:lpstr>shubetsu252</vt:lpstr>
      <vt:lpstr>shubetsu253</vt:lpstr>
      <vt:lpstr>shubetsu254</vt:lpstr>
      <vt:lpstr>shubetsu255</vt:lpstr>
      <vt:lpstr>shubetsu256</vt:lpstr>
      <vt:lpstr>shubetsu257</vt:lpstr>
      <vt:lpstr>shubetsu258</vt:lpstr>
      <vt:lpstr>shubetsu259</vt:lpstr>
      <vt:lpstr>shubetsu260</vt:lpstr>
      <vt:lpstr>shubetsu261</vt:lpstr>
      <vt:lpstr>shubetsu262</vt:lpstr>
      <vt:lpstr>shubetsu263</vt:lpstr>
      <vt:lpstr>shubetsu264</vt:lpstr>
      <vt:lpstr>shubetsu265</vt:lpstr>
      <vt:lpstr>shubetsu266</vt:lpstr>
      <vt:lpstr>shubetsu267</vt:lpstr>
      <vt:lpstr>shubetsu268</vt:lpstr>
      <vt:lpstr>shubetsu269</vt:lpstr>
      <vt:lpstr>shubetsu270</vt:lpstr>
      <vt:lpstr>shubetsu271</vt:lpstr>
      <vt:lpstr>shubetsu272</vt:lpstr>
      <vt:lpstr>shubetsu273</vt:lpstr>
      <vt:lpstr>shubetsu274</vt:lpstr>
      <vt:lpstr>shubetsu275</vt:lpstr>
      <vt:lpstr>shubetsu276</vt:lpstr>
      <vt:lpstr>shubetsu277</vt:lpstr>
      <vt:lpstr>shubetsu278</vt:lpstr>
      <vt:lpstr>shubetsu279</vt:lpstr>
      <vt:lpstr>shubetsu280</vt:lpstr>
      <vt:lpstr>shubetsu281</vt:lpstr>
      <vt:lpstr>shubetsu282</vt:lpstr>
      <vt:lpstr>shubetsu283</vt:lpstr>
      <vt:lpstr>shubetsu284</vt:lpstr>
      <vt:lpstr>shubetsu285</vt:lpstr>
      <vt:lpstr>shubetsu286</vt:lpstr>
      <vt:lpstr>shubetsu287</vt:lpstr>
      <vt:lpstr>shubetsu288</vt:lpstr>
      <vt:lpstr>shubetsu289</vt:lpstr>
      <vt:lpstr>shubetsu290</vt:lpstr>
      <vt:lpstr>shubetsu291</vt:lpstr>
      <vt:lpstr>shubetsu292</vt:lpstr>
      <vt:lpstr>shubetsu293</vt:lpstr>
      <vt:lpstr>shubetsu294</vt:lpstr>
      <vt:lpstr>shubetsu295</vt:lpstr>
      <vt:lpstr>shubetsu296</vt:lpstr>
      <vt:lpstr>shubetsu297</vt:lpstr>
      <vt:lpstr>shubetsu298</vt:lpstr>
      <vt:lpstr>shubetsu299</vt:lpstr>
      <vt:lpstr>shubetsu300</vt:lpstr>
      <vt:lpstr>shubetsu301</vt:lpstr>
      <vt:lpstr>shubetsu302</vt:lpstr>
      <vt:lpstr>shubetsu303</vt:lpstr>
      <vt:lpstr>shubetsu304</vt:lpstr>
      <vt:lpstr>shubetsu305</vt:lpstr>
      <vt:lpstr>shubetsu306</vt:lpstr>
      <vt:lpstr>shubetsu307</vt:lpstr>
      <vt:lpstr>shubetsu308</vt:lpstr>
      <vt:lpstr>shubetsu309</vt:lpstr>
      <vt:lpstr>shubetsu310</vt:lpstr>
      <vt:lpstr>shubetsu311</vt:lpstr>
      <vt:lpstr>shubetsu312</vt:lpstr>
      <vt:lpstr>shubetsu313</vt:lpstr>
      <vt:lpstr>shubetsu314</vt:lpstr>
      <vt:lpstr>shubetsu315</vt:lpstr>
      <vt:lpstr>shubetsu316</vt:lpstr>
      <vt:lpstr>shubetsu317</vt:lpstr>
      <vt:lpstr>shubetsu318</vt:lpstr>
      <vt:lpstr>shubetsu319</vt:lpstr>
      <vt:lpstr>shubetsu320</vt:lpstr>
      <vt:lpstr>shubetsu321</vt:lpstr>
      <vt:lpstr>shubetsu322</vt:lpstr>
      <vt:lpstr>shubetsu323</vt:lpstr>
      <vt:lpstr>shubetsu324</vt:lpstr>
      <vt:lpstr>shubetsu325</vt:lpstr>
      <vt:lpstr>shubetsu326</vt:lpstr>
      <vt:lpstr>shubetsu327</vt:lpstr>
      <vt:lpstr>shubetsu328</vt:lpstr>
      <vt:lpstr>shubetsu329</vt:lpstr>
      <vt:lpstr>shubetsu330</vt:lpstr>
      <vt:lpstr>shubetsu331</vt:lpstr>
      <vt:lpstr>shubetsu332</vt:lpstr>
      <vt:lpstr>shubetsu333</vt:lpstr>
      <vt:lpstr>shubetsu334</vt:lpstr>
      <vt:lpstr>shubetsu335</vt:lpstr>
      <vt:lpstr>shubetsu336</vt:lpstr>
      <vt:lpstr>shubetsu337</vt:lpstr>
      <vt:lpstr>shubetsu338</vt:lpstr>
      <vt:lpstr>shubetsu339</vt:lpstr>
      <vt:lpstr>shubetsu340</vt:lpstr>
      <vt:lpstr>shubetsu341</vt:lpstr>
      <vt:lpstr>shubetsu342</vt:lpstr>
      <vt:lpstr>shubetsu343</vt:lpstr>
      <vt:lpstr>shubetsu344</vt:lpstr>
      <vt:lpstr>shubetsu345</vt:lpstr>
      <vt:lpstr>shubetsu346</vt:lpstr>
      <vt:lpstr>shubetsu347</vt:lpstr>
      <vt:lpstr>shubetsu348</vt:lpstr>
      <vt:lpstr>shubetsu349</vt:lpstr>
      <vt:lpstr>shubetsu350</vt:lpstr>
      <vt:lpstr>shubetsu351</vt:lpstr>
      <vt:lpstr>shubetsu352</vt:lpstr>
      <vt:lpstr>shubetsu353</vt:lpstr>
      <vt:lpstr>shubetsu354</vt:lpstr>
      <vt:lpstr>shubetsu355</vt:lpstr>
      <vt:lpstr>shubetsu356</vt:lpstr>
      <vt:lpstr>shubetsu357</vt:lpstr>
      <vt:lpstr>shubetsu358</vt:lpstr>
      <vt:lpstr>shubetsu359</vt:lpstr>
      <vt:lpstr>shubetsu360</vt:lpstr>
      <vt:lpstr>shubetsu361</vt:lpstr>
      <vt:lpstr>shubetsu362</vt:lpstr>
      <vt:lpstr>shubetsu363</vt:lpstr>
      <vt:lpstr>shubetsu364</vt:lpstr>
      <vt:lpstr>shubetsu365</vt:lpstr>
      <vt:lpstr>shubetsu366</vt:lpstr>
      <vt:lpstr>shubetsu367</vt:lpstr>
      <vt:lpstr>shubetsu368</vt:lpstr>
      <vt:lpstr>shubetsu369</vt:lpstr>
      <vt:lpstr>shubetsu370</vt:lpstr>
      <vt:lpstr>shubetsu371</vt:lpstr>
      <vt:lpstr>shubetsu372</vt:lpstr>
      <vt:lpstr>shubetsu373</vt:lpstr>
      <vt:lpstr>shubetsu374</vt:lpstr>
      <vt:lpstr>shubetsu375</vt:lpstr>
      <vt:lpstr>shubetsu376</vt:lpstr>
      <vt:lpstr>shubetsu377</vt:lpstr>
      <vt:lpstr>shubetsu378</vt:lpstr>
      <vt:lpstr>shubetsu379</vt:lpstr>
      <vt:lpstr>shubetsu380</vt:lpstr>
      <vt:lpstr>shubetsu381</vt:lpstr>
      <vt:lpstr>shubetsu382</vt:lpstr>
      <vt:lpstr>shubetsu383</vt:lpstr>
      <vt:lpstr>shubetsu384</vt:lpstr>
      <vt:lpstr>shubetsu385</vt:lpstr>
      <vt:lpstr>shubetsu386</vt:lpstr>
      <vt:lpstr>shubetsu387</vt:lpstr>
      <vt:lpstr>shubetsu388</vt:lpstr>
      <vt:lpstr>shubetsu389</vt:lpstr>
      <vt:lpstr>shubetsu390</vt:lpstr>
      <vt:lpstr>shubetsu391</vt:lpstr>
      <vt:lpstr>shubetsu392</vt:lpstr>
      <vt:lpstr>shubetsu393</vt:lpstr>
      <vt:lpstr>shubetsu394</vt:lpstr>
      <vt:lpstr>shubetsu395</vt:lpstr>
      <vt:lpstr>shubetsu396</vt:lpstr>
      <vt:lpstr>shubetsu397</vt:lpstr>
      <vt:lpstr>shubetsu398</vt:lpstr>
      <vt:lpstr>shubetsu399</vt:lpstr>
      <vt:lpstr>shubetsu400</vt:lpstr>
      <vt:lpstr>shubetsu401</vt:lpstr>
      <vt:lpstr>shubetsu402</vt:lpstr>
      <vt:lpstr>shubetsu403</vt:lpstr>
      <vt:lpstr>shubetsu404</vt:lpstr>
      <vt:lpstr>shubetsu405</vt:lpstr>
      <vt:lpstr>shubetsu406</vt:lpstr>
      <vt:lpstr>shubetsu407</vt:lpstr>
      <vt:lpstr>shubetsu408</vt:lpstr>
      <vt:lpstr>shubetsu409</vt:lpstr>
      <vt:lpstr>shubetsu410</vt:lpstr>
      <vt:lpstr>shubetsu411</vt:lpstr>
      <vt:lpstr>shubetsu412</vt:lpstr>
      <vt:lpstr>shubetsu413</vt:lpstr>
      <vt:lpstr>shubetsu414</vt:lpstr>
      <vt:lpstr>shubetsu415</vt:lpstr>
      <vt:lpstr>shubetsu416</vt:lpstr>
      <vt:lpstr>shubetsu417</vt:lpstr>
      <vt:lpstr>shubetsu418</vt:lpstr>
      <vt:lpstr>shubetsu419</vt:lpstr>
      <vt:lpstr>shubetsu420</vt:lpstr>
      <vt:lpstr>shubetsu421</vt:lpstr>
      <vt:lpstr>shubetsu422</vt:lpstr>
      <vt:lpstr>shubetsu423</vt:lpstr>
      <vt:lpstr>shubetsu424</vt:lpstr>
      <vt:lpstr>shubetsu425</vt:lpstr>
      <vt:lpstr>shubetsu426</vt:lpstr>
      <vt:lpstr>shubetsu427</vt:lpstr>
      <vt:lpstr>shubetsu428</vt:lpstr>
      <vt:lpstr>shubetsu429</vt:lpstr>
      <vt:lpstr>shubetsu430</vt:lpstr>
      <vt:lpstr>shubetsu431</vt:lpstr>
      <vt:lpstr>shubetsu432</vt:lpstr>
      <vt:lpstr>shubetsu433</vt:lpstr>
      <vt:lpstr>shubetsu434</vt:lpstr>
      <vt:lpstr>shubetsu435</vt:lpstr>
      <vt:lpstr>shubetsu436</vt:lpstr>
      <vt:lpstr>shubetsu437</vt:lpstr>
      <vt:lpstr>shubetsu438</vt:lpstr>
      <vt:lpstr>shubetsu439</vt:lpstr>
      <vt:lpstr>shubetsu440</vt:lpstr>
      <vt:lpstr>shubetsu441</vt:lpstr>
      <vt:lpstr>shubetsu442</vt:lpstr>
      <vt:lpstr>shubetsu443</vt:lpstr>
      <vt:lpstr>shubetsu444</vt:lpstr>
      <vt:lpstr>shubetsu445</vt:lpstr>
      <vt:lpstr>shubetsu446</vt:lpstr>
      <vt:lpstr>shubetsu447</vt:lpstr>
      <vt:lpstr>shubetsu448</vt:lpstr>
      <vt:lpstr>shubetsu449</vt:lpstr>
      <vt:lpstr>shubetsu450</vt:lpstr>
      <vt:lpstr>shubetsu451</vt:lpstr>
      <vt:lpstr>shubetsu452</vt:lpstr>
      <vt:lpstr>shubetsu453</vt:lpstr>
      <vt:lpstr>shubetsu454</vt:lpstr>
      <vt:lpstr>shubetsu455</vt:lpstr>
      <vt:lpstr>shubetsu456</vt:lpstr>
      <vt:lpstr>shubetsu457</vt:lpstr>
      <vt:lpstr>shubetsu458</vt:lpstr>
      <vt:lpstr>shubetsu459</vt:lpstr>
      <vt:lpstr>shubetsu460</vt:lpstr>
      <vt:lpstr>shubetsu461</vt:lpstr>
      <vt:lpstr>shubetsu462</vt:lpstr>
      <vt:lpstr>shubetsu463</vt:lpstr>
      <vt:lpstr>shubetsu464</vt:lpstr>
      <vt:lpstr>shubetsu465</vt:lpstr>
      <vt:lpstr>shubetsu466</vt:lpstr>
      <vt:lpstr>shubetsu467</vt:lpstr>
      <vt:lpstr>shubetsu468</vt:lpstr>
      <vt:lpstr>shubetsu469</vt:lpstr>
      <vt:lpstr>shubetsu470</vt:lpstr>
      <vt:lpstr>shubetsu471</vt:lpstr>
      <vt:lpstr>shubetsu472</vt:lpstr>
      <vt:lpstr>shubetsu473</vt:lpstr>
      <vt:lpstr>shubetsu474</vt:lpstr>
      <vt:lpstr>shubetsu475</vt:lpstr>
      <vt:lpstr>shubetsu476</vt:lpstr>
      <vt:lpstr>shubetsu477</vt:lpstr>
      <vt:lpstr>shubetsu478</vt:lpstr>
      <vt:lpstr>shubetsu479</vt:lpstr>
      <vt:lpstr>shubetsu480</vt:lpstr>
      <vt:lpstr>shubetsu481</vt:lpstr>
      <vt:lpstr>shubetsu482</vt:lpstr>
      <vt:lpstr>shubetsu483</vt:lpstr>
      <vt:lpstr>shubetsu484</vt:lpstr>
      <vt:lpstr>shubetsu485</vt:lpstr>
      <vt:lpstr>shubetsu486</vt:lpstr>
      <vt:lpstr>shubetsu487</vt:lpstr>
      <vt:lpstr>shubetsu488</vt:lpstr>
      <vt:lpstr>shubetsu489</vt:lpstr>
      <vt:lpstr>shubetsu490</vt:lpstr>
      <vt:lpstr>shubetsu491</vt:lpstr>
      <vt:lpstr>shubetsu492</vt:lpstr>
      <vt:lpstr>shubetsu493</vt:lpstr>
      <vt:lpstr>shubetsu494</vt:lpstr>
      <vt:lpstr>shubetsu495</vt:lpstr>
      <vt:lpstr>shubetsu496</vt:lpstr>
      <vt:lpstr>shubetsu497</vt:lpstr>
      <vt:lpstr>shubetsu498</vt:lpstr>
      <vt:lpstr>shubetsu499</vt:lpstr>
      <vt:lpstr>shubetsu500</vt:lpstr>
      <vt:lpstr>shutoku001</vt:lpstr>
      <vt:lpstr>shutoku002</vt:lpstr>
      <vt:lpstr>shutoku003</vt:lpstr>
      <vt:lpstr>shutoku004</vt:lpstr>
      <vt:lpstr>shutoku005</vt:lpstr>
      <vt:lpstr>shutoku006</vt:lpstr>
      <vt:lpstr>shutoku007</vt:lpstr>
      <vt:lpstr>shutoku008</vt:lpstr>
      <vt:lpstr>shutoku009</vt:lpstr>
      <vt:lpstr>shutoku010</vt:lpstr>
      <vt:lpstr>shutoku011</vt:lpstr>
      <vt:lpstr>shutoku012</vt:lpstr>
      <vt:lpstr>shutoku013</vt:lpstr>
      <vt:lpstr>shutoku014</vt:lpstr>
      <vt:lpstr>shutoku015</vt:lpstr>
      <vt:lpstr>shutoku016</vt:lpstr>
      <vt:lpstr>shutoku017</vt:lpstr>
      <vt:lpstr>shutoku018</vt:lpstr>
      <vt:lpstr>shutoku019</vt:lpstr>
      <vt:lpstr>shutoku020</vt:lpstr>
      <vt:lpstr>shutoku021</vt:lpstr>
      <vt:lpstr>shutoku022</vt:lpstr>
      <vt:lpstr>shutoku023</vt:lpstr>
      <vt:lpstr>shutoku024</vt:lpstr>
      <vt:lpstr>shutoku025</vt:lpstr>
      <vt:lpstr>shutoku026</vt:lpstr>
      <vt:lpstr>shutoku027</vt:lpstr>
      <vt:lpstr>shutoku028</vt:lpstr>
      <vt:lpstr>shutoku029</vt:lpstr>
      <vt:lpstr>shutoku030</vt:lpstr>
      <vt:lpstr>shutoku031</vt:lpstr>
      <vt:lpstr>shutoku032</vt:lpstr>
      <vt:lpstr>shutoku033</vt:lpstr>
      <vt:lpstr>shutoku034</vt:lpstr>
      <vt:lpstr>shutoku035</vt:lpstr>
      <vt:lpstr>shutoku036</vt:lpstr>
      <vt:lpstr>shutoku037</vt:lpstr>
      <vt:lpstr>shutoku038</vt:lpstr>
      <vt:lpstr>shutoku039</vt:lpstr>
      <vt:lpstr>shutoku040</vt:lpstr>
      <vt:lpstr>shutoku041</vt:lpstr>
      <vt:lpstr>shutoku042</vt:lpstr>
      <vt:lpstr>shutoku043</vt:lpstr>
      <vt:lpstr>shutoku044</vt:lpstr>
      <vt:lpstr>shutoku045</vt:lpstr>
      <vt:lpstr>shutoku046</vt:lpstr>
      <vt:lpstr>shutoku047</vt:lpstr>
      <vt:lpstr>shutoku048</vt:lpstr>
      <vt:lpstr>shutoku049</vt:lpstr>
      <vt:lpstr>shutoku050</vt:lpstr>
      <vt:lpstr>shutoku051</vt:lpstr>
      <vt:lpstr>shutoku052</vt:lpstr>
      <vt:lpstr>shutoku053</vt:lpstr>
      <vt:lpstr>shutoku054</vt:lpstr>
      <vt:lpstr>shutoku055</vt:lpstr>
      <vt:lpstr>shutoku056</vt:lpstr>
      <vt:lpstr>shutoku057</vt:lpstr>
      <vt:lpstr>shutoku058</vt:lpstr>
      <vt:lpstr>shutoku059</vt:lpstr>
      <vt:lpstr>shutoku060</vt:lpstr>
      <vt:lpstr>shutoku061</vt:lpstr>
      <vt:lpstr>shutoku062</vt:lpstr>
      <vt:lpstr>shutoku063</vt:lpstr>
      <vt:lpstr>shutoku064</vt:lpstr>
      <vt:lpstr>shutoku065</vt:lpstr>
      <vt:lpstr>shutoku066</vt:lpstr>
      <vt:lpstr>shutoku067</vt:lpstr>
      <vt:lpstr>shutoku068</vt:lpstr>
      <vt:lpstr>shutoku069</vt:lpstr>
      <vt:lpstr>shutoku070</vt:lpstr>
      <vt:lpstr>shutoku071</vt:lpstr>
      <vt:lpstr>shutoku072</vt:lpstr>
      <vt:lpstr>shutoku073</vt:lpstr>
      <vt:lpstr>shutoku074</vt:lpstr>
      <vt:lpstr>shutoku075</vt:lpstr>
      <vt:lpstr>shutoku076</vt:lpstr>
      <vt:lpstr>shutoku077</vt:lpstr>
      <vt:lpstr>shutoku078</vt:lpstr>
      <vt:lpstr>shutoku079</vt:lpstr>
      <vt:lpstr>shutoku080</vt:lpstr>
      <vt:lpstr>shutoku081</vt:lpstr>
      <vt:lpstr>shutoku082</vt:lpstr>
      <vt:lpstr>shutoku083</vt:lpstr>
      <vt:lpstr>shutoku084</vt:lpstr>
      <vt:lpstr>shutoku085</vt:lpstr>
      <vt:lpstr>shutoku086</vt:lpstr>
      <vt:lpstr>shutoku087</vt:lpstr>
      <vt:lpstr>shutoku088</vt:lpstr>
      <vt:lpstr>shutoku089</vt:lpstr>
      <vt:lpstr>shutoku090</vt:lpstr>
      <vt:lpstr>shutoku091</vt:lpstr>
      <vt:lpstr>shutoku092</vt:lpstr>
      <vt:lpstr>shutoku093</vt:lpstr>
      <vt:lpstr>shutoku094</vt:lpstr>
      <vt:lpstr>shutoku095</vt:lpstr>
      <vt:lpstr>shutoku096</vt:lpstr>
      <vt:lpstr>shutoku097</vt:lpstr>
      <vt:lpstr>shutoku098</vt:lpstr>
      <vt:lpstr>shutoku099</vt:lpstr>
      <vt:lpstr>shutoku100</vt:lpstr>
      <vt:lpstr>shutoku101</vt:lpstr>
      <vt:lpstr>shutoku102</vt:lpstr>
      <vt:lpstr>shutoku103</vt:lpstr>
      <vt:lpstr>shutoku104</vt:lpstr>
      <vt:lpstr>shutoku105</vt:lpstr>
      <vt:lpstr>shutoku106</vt:lpstr>
      <vt:lpstr>shutoku107</vt:lpstr>
      <vt:lpstr>shutoku108</vt:lpstr>
      <vt:lpstr>shutoku109</vt:lpstr>
      <vt:lpstr>shutoku110</vt:lpstr>
      <vt:lpstr>shutoku111</vt:lpstr>
      <vt:lpstr>shutoku112</vt:lpstr>
      <vt:lpstr>shutoku113</vt:lpstr>
      <vt:lpstr>shutoku114</vt:lpstr>
      <vt:lpstr>shutoku115</vt:lpstr>
      <vt:lpstr>shutoku116</vt:lpstr>
      <vt:lpstr>shutoku117</vt:lpstr>
      <vt:lpstr>shutoku118</vt:lpstr>
      <vt:lpstr>shutoku119</vt:lpstr>
      <vt:lpstr>shutoku120</vt:lpstr>
      <vt:lpstr>shutoku121</vt:lpstr>
      <vt:lpstr>shutoku122</vt:lpstr>
      <vt:lpstr>shutoku123</vt:lpstr>
      <vt:lpstr>shutoku124</vt:lpstr>
      <vt:lpstr>shutoku125</vt:lpstr>
      <vt:lpstr>shutoku126</vt:lpstr>
      <vt:lpstr>shutoku127</vt:lpstr>
      <vt:lpstr>shutoku128</vt:lpstr>
      <vt:lpstr>shutoku129</vt:lpstr>
      <vt:lpstr>shutoku130</vt:lpstr>
      <vt:lpstr>shutoku131</vt:lpstr>
      <vt:lpstr>shutoku132</vt:lpstr>
      <vt:lpstr>shutoku133</vt:lpstr>
      <vt:lpstr>shutoku134</vt:lpstr>
      <vt:lpstr>shutoku135</vt:lpstr>
      <vt:lpstr>shutoku136</vt:lpstr>
      <vt:lpstr>shutoku137</vt:lpstr>
      <vt:lpstr>shutoku138</vt:lpstr>
      <vt:lpstr>shutoku139</vt:lpstr>
      <vt:lpstr>shutoku140</vt:lpstr>
      <vt:lpstr>shutoku141</vt:lpstr>
      <vt:lpstr>shutoku142</vt:lpstr>
      <vt:lpstr>shutoku143</vt:lpstr>
      <vt:lpstr>shutoku144</vt:lpstr>
      <vt:lpstr>shutoku145</vt:lpstr>
      <vt:lpstr>shutoku146</vt:lpstr>
      <vt:lpstr>shutoku147</vt:lpstr>
      <vt:lpstr>shutoku148</vt:lpstr>
      <vt:lpstr>shutoku149</vt:lpstr>
      <vt:lpstr>shutoku150</vt:lpstr>
      <vt:lpstr>shutoku151</vt:lpstr>
      <vt:lpstr>shutoku152</vt:lpstr>
      <vt:lpstr>shutoku153</vt:lpstr>
      <vt:lpstr>shutoku154</vt:lpstr>
      <vt:lpstr>shutoku155</vt:lpstr>
      <vt:lpstr>shutoku156</vt:lpstr>
      <vt:lpstr>shutoku157</vt:lpstr>
      <vt:lpstr>shutoku158</vt:lpstr>
      <vt:lpstr>shutoku159</vt:lpstr>
      <vt:lpstr>shutoku160</vt:lpstr>
      <vt:lpstr>shutoku161</vt:lpstr>
      <vt:lpstr>shutoku162</vt:lpstr>
      <vt:lpstr>shutoku163</vt:lpstr>
      <vt:lpstr>shutoku164</vt:lpstr>
      <vt:lpstr>shutoku165</vt:lpstr>
      <vt:lpstr>shutoku166</vt:lpstr>
      <vt:lpstr>shutoku167</vt:lpstr>
      <vt:lpstr>shutoku168</vt:lpstr>
      <vt:lpstr>shutoku169</vt:lpstr>
      <vt:lpstr>shutoku170</vt:lpstr>
      <vt:lpstr>shutoku171</vt:lpstr>
      <vt:lpstr>shutoku172</vt:lpstr>
      <vt:lpstr>shutoku173</vt:lpstr>
      <vt:lpstr>shutoku174</vt:lpstr>
      <vt:lpstr>shutoku175</vt:lpstr>
      <vt:lpstr>shutoku176</vt:lpstr>
      <vt:lpstr>shutoku177</vt:lpstr>
      <vt:lpstr>shutoku178</vt:lpstr>
      <vt:lpstr>shutoku179</vt:lpstr>
      <vt:lpstr>shutoku180</vt:lpstr>
      <vt:lpstr>shutoku181</vt:lpstr>
      <vt:lpstr>shutoku182</vt:lpstr>
      <vt:lpstr>shutoku183</vt:lpstr>
      <vt:lpstr>shutoku184</vt:lpstr>
      <vt:lpstr>shutoku185</vt:lpstr>
      <vt:lpstr>shutoku186</vt:lpstr>
      <vt:lpstr>shutoku187</vt:lpstr>
      <vt:lpstr>shutoku188</vt:lpstr>
      <vt:lpstr>shutoku189</vt:lpstr>
      <vt:lpstr>shutoku190</vt:lpstr>
      <vt:lpstr>shutoku191</vt:lpstr>
      <vt:lpstr>shutoku192</vt:lpstr>
      <vt:lpstr>shutoku193</vt:lpstr>
      <vt:lpstr>shutoku194</vt:lpstr>
      <vt:lpstr>shutoku195</vt:lpstr>
      <vt:lpstr>shutoku196</vt:lpstr>
      <vt:lpstr>shutoku197</vt:lpstr>
      <vt:lpstr>shutoku198</vt:lpstr>
      <vt:lpstr>shutoku199</vt:lpstr>
      <vt:lpstr>shutoku200</vt:lpstr>
      <vt:lpstr>shutoku201</vt:lpstr>
      <vt:lpstr>shutoku202</vt:lpstr>
      <vt:lpstr>shutoku203</vt:lpstr>
      <vt:lpstr>shutoku204</vt:lpstr>
      <vt:lpstr>shutoku205</vt:lpstr>
      <vt:lpstr>shutoku206</vt:lpstr>
      <vt:lpstr>shutoku207</vt:lpstr>
      <vt:lpstr>shutoku208</vt:lpstr>
      <vt:lpstr>shutoku209</vt:lpstr>
      <vt:lpstr>shutoku210</vt:lpstr>
      <vt:lpstr>shutoku211</vt:lpstr>
      <vt:lpstr>shutoku212</vt:lpstr>
      <vt:lpstr>shutoku213</vt:lpstr>
      <vt:lpstr>shutoku214</vt:lpstr>
      <vt:lpstr>shutoku215</vt:lpstr>
      <vt:lpstr>shutoku216</vt:lpstr>
      <vt:lpstr>shutoku217</vt:lpstr>
      <vt:lpstr>shutoku218</vt:lpstr>
      <vt:lpstr>shutoku219</vt:lpstr>
      <vt:lpstr>shutoku220</vt:lpstr>
      <vt:lpstr>shutoku221</vt:lpstr>
      <vt:lpstr>shutoku222</vt:lpstr>
      <vt:lpstr>shutoku223</vt:lpstr>
      <vt:lpstr>shutoku224</vt:lpstr>
      <vt:lpstr>shutoku225</vt:lpstr>
      <vt:lpstr>shutoku226</vt:lpstr>
      <vt:lpstr>shutoku227</vt:lpstr>
      <vt:lpstr>shutoku228</vt:lpstr>
      <vt:lpstr>shutoku229</vt:lpstr>
      <vt:lpstr>shutoku230</vt:lpstr>
      <vt:lpstr>shutoku231</vt:lpstr>
      <vt:lpstr>shutoku232</vt:lpstr>
      <vt:lpstr>shutoku233</vt:lpstr>
      <vt:lpstr>shutoku234</vt:lpstr>
      <vt:lpstr>shutoku235</vt:lpstr>
      <vt:lpstr>shutoku236</vt:lpstr>
      <vt:lpstr>shutoku237</vt:lpstr>
      <vt:lpstr>shutoku238</vt:lpstr>
      <vt:lpstr>shutoku239</vt:lpstr>
      <vt:lpstr>shutoku240</vt:lpstr>
      <vt:lpstr>shutoku241</vt:lpstr>
      <vt:lpstr>shutoku242</vt:lpstr>
      <vt:lpstr>shutoku243</vt:lpstr>
      <vt:lpstr>shutoku244</vt:lpstr>
      <vt:lpstr>shutoku245</vt:lpstr>
      <vt:lpstr>shutoku246</vt:lpstr>
      <vt:lpstr>shutoku247</vt:lpstr>
      <vt:lpstr>shutoku248</vt:lpstr>
      <vt:lpstr>shutoku249</vt:lpstr>
      <vt:lpstr>shutoku250</vt:lpstr>
      <vt:lpstr>shutoku251</vt:lpstr>
      <vt:lpstr>shutoku252</vt:lpstr>
      <vt:lpstr>shutoku253</vt:lpstr>
      <vt:lpstr>shutoku254</vt:lpstr>
      <vt:lpstr>shutoku255</vt:lpstr>
      <vt:lpstr>shutoku256</vt:lpstr>
      <vt:lpstr>shutoku257</vt:lpstr>
      <vt:lpstr>shutoku258</vt:lpstr>
      <vt:lpstr>shutoku259</vt:lpstr>
      <vt:lpstr>shutoku260</vt:lpstr>
      <vt:lpstr>shutoku261</vt:lpstr>
      <vt:lpstr>shutoku262</vt:lpstr>
      <vt:lpstr>shutoku263</vt:lpstr>
      <vt:lpstr>shutoku264</vt:lpstr>
      <vt:lpstr>shutoku265</vt:lpstr>
      <vt:lpstr>shutoku266</vt:lpstr>
      <vt:lpstr>shutoku267</vt:lpstr>
      <vt:lpstr>shutoku268</vt:lpstr>
      <vt:lpstr>shutoku269</vt:lpstr>
      <vt:lpstr>shutoku270</vt:lpstr>
      <vt:lpstr>shutoku271</vt:lpstr>
      <vt:lpstr>shutoku272</vt:lpstr>
      <vt:lpstr>shutoku273</vt:lpstr>
      <vt:lpstr>shutoku274</vt:lpstr>
      <vt:lpstr>shutoku275</vt:lpstr>
      <vt:lpstr>shutoku276</vt:lpstr>
      <vt:lpstr>shutoku277</vt:lpstr>
      <vt:lpstr>shutoku278</vt:lpstr>
      <vt:lpstr>shutoku279</vt:lpstr>
      <vt:lpstr>shutoku280</vt:lpstr>
      <vt:lpstr>shutoku281</vt:lpstr>
      <vt:lpstr>shutoku282</vt:lpstr>
      <vt:lpstr>shutoku283</vt:lpstr>
      <vt:lpstr>shutoku284</vt:lpstr>
      <vt:lpstr>shutoku285</vt:lpstr>
      <vt:lpstr>shutoku286</vt:lpstr>
      <vt:lpstr>shutoku287</vt:lpstr>
      <vt:lpstr>shutoku288</vt:lpstr>
      <vt:lpstr>shutoku289</vt:lpstr>
      <vt:lpstr>shutoku290</vt:lpstr>
      <vt:lpstr>shutoku291</vt:lpstr>
      <vt:lpstr>shutoku292</vt:lpstr>
      <vt:lpstr>shutoku293</vt:lpstr>
      <vt:lpstr>shutoku294</vt:lpstr>
      <vt:lpstr>shutoku295</vt:lpstr>
      <vt:lpstr>shutoku296</vt:lpstr>
      <vt:lpstr>shutoku297</vt:lpstr>
      <vt:lpstr>shutoku298</vt:lpstr>
      <vt:lpstr>shutoku299</vt:lpstr>
      <vt:lpstr>shutoku300</vt:lpstr>
      <vt:lpstr>shutoku301</vt:lpstr>
      <vt:lpstr>shutoku302</vt:lpstr>
      <vt:lpstr>shutoku303</vt:lpstr>
      <vt:lpstr>shutoku304</vt:lpstr>
      <vt:lpstr>shutoku305</vt:lpstr>
      <vt:lpstr>shutoku306</vt:lpstr>
      <vt:lpstr>shutoku307</vt:lpstr>
      <vt:lpstr>shutoku308</vt:lpstr>
      <vt:lpstr>shutoku309</vt:lpstr>
      <vt:lpstr>shutoku310</vt:lpstr>
      <vt:lpstr>shutoku311</vt:lpstr>
      <vt:lpstr>shutoku312</vt:lpstr>
      <vt:lpstr>shutoku313</vt:lpstr>
      <vt:lpstr>shutoku314</vt:lpstr>
      <vt:lpstr>shutoku315</vt:lpstr>
      <vt:lpstr>shutoku316</vt:lpstr>
      <vt:lpstr>shutoku317</vt:lpstr>
      <vt:lpstr>shutoku318</vt:lpstr>
      <vt:lpstr>shutoku319</vt:lpstr>
      <vt:lpstr>shutoku320</vt:lpstr>
      <vt:lpstr>shutoku321</vt:lpstr>
      <vt:lpstr>shutoku322</vt:lpstr>
      <vt:lpstr>shutoku323</vt:lpstr>
      <vt:lpstr>shutoku324</vt:lpstr>
      <vt:lpstr>shutoku325</vt:lpstr>
      <vt:lpstr>shutoku326</vt:lpstr>
      <vt:lpstr>shutoku327</vt:lpstr>
      <vt:lpstr>shutoku328</vt:lpstr>
      <vt:lpstr>shutoku329</vt:lpstr>
      <vt:lpstr>shutoku330</vt:lpstr>
      <vt:lpstr>shutoku331</vt:lpstr>
      <vt:lpstr>shutoku332</vt:lpstr>
      <vt:lpstr>shutoku333</vt:lpstr>
      <vt:lpstr>shutoku334</vt:lpstr>
      <vt:lpstr>shutoku335</vt:lpstr>
      <vt:lpstr>shutoku336</vt:lpstr>
      <vt:lpstr>shutoku337</vt:lpstr>
      <vt:lpstr>shutoku338</vt:lpstr>
      <vt:lpstr>shutoku339</vt:lpstr>
      <vt:lpstr>shutoku340</vt:lpstr>
      <vt:lpstr>shutoku341</vt:lpstr>
      <vt:lpstr>shutoku342</vt:lpstr>
      <vt:lpstr>shutoku343</vt:lpstr>
      <vt:lpstr>shutoku344</vt:lpstr>
      <vt:lpstr>shutoku345</vt:lpstr>
      <vt:lpstr>shutoku346</vt:lpstr>
      <vt:lpstr>shutoku347</vt:lpstr>
      <vt:lpstr>shutoku348</vt:lpstr>
      <vt:lpstr>shutoku349</vt:lpstr>
      <vt:lpstr>shutoku350</vt:lpstr>
      <vt:lpstr>shutoku351</vt:lpstr>
      <vt:lpstr>shutoku352</vt:lpstr>
      <vt:lpstr>shutoku353</vt:lpstr>
      <vt:lpstr>shutoku354</vt:lpstr>
      <vt:lpstr>shutoku355</vt:lpstr>
      <vt:lpstr>shutoku356</vt:lpstr>
      <vt:lpstr>shutoku357</vt:lpstr>
      <vt:lpstr>shutoku358</vt:lpstr>
      <vt:lpstr>shutoku359</vt:lpstr>
      <vt:lpstr>shutoku360</vt:lpstr>
      <vt:lpstr>shutoku361</vt:lpstr>
      <vt:lpstr>shutoku362</vt:lpstr>
      <vt:lpstr>shutoku363</vt:lpstr>
      <vt:lpstr>shutoku364</vt:lpstr>
      <vt:lpstr>shutoku365</vt:lpstr>
      <vt:lpstr>shutoku366</vt:lpstr>
      <vt:lpstr>shutoku367</vt:lpstr>
      <vt:lpstr>shutoku368</vt:lpstr>
      <vt:lpstr>shutoku369</vt:lpstr>
      <vt:lpstr>shutoku370</vt:lpstr>
      <vt:lpstr>shutoku371</vt:lpstr>
      <vt:lpstr>shutoku372</vt:lpstr>
      <vt:lpstr>shutoku373</vt:lpstr>
      <vt:lpstr>shutoku374</vt:lpstr>
      <vt:lpstr>shutoku375</vt:lpstr>
      <vt:lpstr>shutoku376</vt:lpstr>
      <vt:lpstr>shutoku377</vt:lpstr>
      <vt:lpstr>shutoku378</vt:lpstr>
      <vt:lpstr>shutoku379</vt:lpstr>
      <vt:lpstr>shutoku380</vt:lpstr>
      <vt:lpstr>shutoku381</vt:lpstr>
      <vt:lpstr>shutoku382</vt:lpstr>
      <vt:lpstr>shutoku383</vt:lpstr>
      <vt:lpstr>shutoku384</vt:lpstr>
      <vt:lpstr>shutoku385</vt:lpstr>
      <vt:lpstr>shutoku386</vt:lpstr>
      <vt:lpstr>shutoku387</vt:lpstr>
      <vt:lpstr>shutoku388</vt:lpstr>
      <vt:lpstr>shutoku389</vt:lpstr>
      <vt:lpstr>shutoku390</vt:lpstr>
      <vt:lpstr>shutoku391</vt:lpstr>
      <vt:lpstr>shutoku392</vt:lpstr>
      <vt:lpstr>shutoku393</vt:lpstr>
      <vt:lpstr>shutoku394</vt:lpstr>
      <vt:lpstr>shutoku395</vt:lpstr>
      <vt:lpstr>shutoku396</vt:lpstr>
      <vt:lpstr>shutoku397</vt:lpstr>
      <vt:lpstr>shutoku398</vt:lpstr>
      <vt:lpstr>shutoku399</vt:lpstr>
      <vt:lpstr>shutoku400</vt:lpstr>
      <vt:lpstr>shutoku401</vt:lpstr>
      <vt:lpstr>shutoku402</vt:lpstr>
      <vt:lpstr>shutoku403</vt:lpstr>
      <vt:lpstr>shutoku404</vt:lpstr>
      <vt:lpstr>shutoku405</vt:lpstr>
      <vt:lpstr>shutoku406</vt:lpstr>
      <vt:lpstr>shutoku407</vt:lpstr>
      <vt:lpstr>shutoku408</vt:lpstr>
      <vt:lpstr>shutoku409</vt:lpstr>
      <vt:lpstr>shutoku410</vt:lpstr>
      <vt:lpstr>shutoku411</vt:lpstr>
      <vt:lpstr>shutoku412</vt:lpstr>
      <vt:lpstr>shutoku413</vt:lpstr>
      <vt:lpstr>shutoku414</vt:lpstr>
      <vt:lpstr>shutoku415</vt:lpstr>
      <vt:lpstr>shutoku416</vt:lpstr>
      <vt:lpstr>shutoku417</vt:lpstr>
      <vt:lpstr>shutoku418</vt:lpstr>
      <vt:lpstr>shutoku419</vt:lpstr>
      <vt:lpstr>shutoku420</vt:lpstr>
      <vt:lpstr>shutoku421</vt:lpstr>
      <vt:lpstr>shutoku422</vt:lpstr>
      <vt:lpstr>shutoku423</vt:lpstr>
      <vt:lpstr>shutoku424</vt:lpstr>
      <vt:lpstr>shutoku425</vt:lpstr>
      <vt:lpstr>shutoku426</vt:lpstr>
      <vt:lpstr>shutoku427</vt:lpstr>
      <vt:lpstr>shutoku428</vt:lpstr>
      <vt:lpstr>shutoku429</vt:lpstr>
      <vt:lpstr>shutoku430</vt:lpstr>
      <vt:lpstr>shutoku431</vt:lpstr>
      <vt:lpstr>shutoku432</vt:lpstr>
      <vt:lpstr>shutoku433</vt:lpstr>
      <vt:lpstr>shutoku434</vt:lpstr>
      <vt:lpstr>shutoku435</vt:lpstr>
      <vt:lpstr>shutoku436</vt:lpstr>
      <vt:lpstr>shutoku437</vt:lpstr>
      <vt:lpstr>shutoku438</vt:lpstr>
      <vt:lpstr>shutoku439</vt:lpstr>
      <vt:lpstr>shutoku440</vt:lpstr>
      <vt:lpstr>shutoku441</vt:lpstr>
      <vt:lpstr>shutoku442</vt:lpstr>
      <vt:lpstr>shutoku443</vt:lpstr>
      <vt:lpstr>shutoku444</vt:lpstr>
      <vt:lpstr>shutoku445</vt:lpstr>
      <vt:lpstr>shutoku446</vt:lpstr>
      <vt:lpstr>shutoku447</vt:lpstr>
      <vt:lpstr>shutoku448</vt:lpstr>
      <vt:lpstr>shutoku449</vt:lpstr>
      <vt:lpstr>shutoku450</vt:lpstr>
      <vt:lpstr>shutoku451</vt:lpstr>
      <vt:lpstr>shutoku452</vt:lpstr>
      <vt:lpstr>shutoku453</vt:lpstr>
      <vt:lpstr>shutoku454</vt:lpstr>
      <vt:lpstr>shutoku455</vt:lpstr>
      <vt:lpstr>shutoku456</vt:lpstr>
      <vt:lpstr>shutoku457</vt:lpstr>
      <vt:lpstr>shutoku458</vt:lpstr>
      <vt:lpstr>shutoku459</vt:lpstr>
      <vt:lpstr>shutoku460</vt:lpstr>
      <vt:lpstr>shutoku461</vt:lpstr>
      <vt:lpstr>shutoku462</vt:lpstr>
      <vt:lpstr>shutoku463</vt:lpstr>
      <vt:lpstr>shutoku464</vt:lpstr>
      <vt:lpstr>shutoku465</vt:lpstr>
      <vt:lpstr>shutoku466</vt:lpstr>
      <vt:lpstr>shutoku467</vt:lpstr>
      <vt:lpstr>shutoku468</vt:lpstr>
      <vt:lpstr>shutoku469</vt:lpstr>
      <vt:lpstr>shutoku470</vt:lpstr>
      <vt:lpstr>shutoku471</vt:lpstr>
      <vt:lpstr>shutoku472</vt:lpstr>
      <vt:lpstr>shutoku473</vt:lpstr>
      <vt:lpstr>shutoku474</vt:lpstr>
      <vt:lpstr>shutoku475</vt:lpstr>
      <vt:lpstr>shutoku476</vt:lpstr>
      <vt:lpstr>shutoku477</vt:lpstr>
      <vt:lpstr>shutoku478</vt:lpstr>
      <vt:lpstr>shutoku479</vt:lpstr>
      <vt:lpstr>shutoku480</vt:lpstr>
      <vt:lpstr>shutoku481</vt:lpstr>
      <vt:lpstr>shutoku482</vt:lpstr>
      <vt:lpstr>shutoku483</vt:lpstr>
      <vt:lpstr>shutoku484</vt:lpstr>
      <vt:lpstr>shutoku485</vt:lpstr>
      <vt:lpstr>shutoku486</vt:lpstr>
      <vt:lpstr>shutoku487</vt:lpstr>
      <vt:lpstr>shutoku488</vt:lpstr>
      <vt:lpstr>shutoku489</vt:lpstr>
      <vt:lpstr>shutoku490</vt:lpstr>
      <vt:lpstr>shutoku491</vt:lpstr>
      <vt:lpstr>shutoku492</vt:lpstr>
      <vt:lpstr>shutoku493</vt:lpstr>
      <vt:lpstr>shutoku494</vt:lpstr>
      <vt:lpstr>shutoku495</vt:lpstr>
      <vt:lpstr>shutoku496</vt:lpstr>
      <vt:lpstr>shutoku497</vt:lpstr>
      <vt:lpstr>shutoku498</vt:lpstr>
      <vt:lpstr>shutoku499</vt:lpstr>
      <vt:lpstr>shutoku500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2023-06-02T23:38:42Z</dcterms:created>
  <dcterms:modified xsi:type="dcterms:W3CDTF">2025-06-21T05:53:25Z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0x010100F180F4E9C1AB8045B6C34C8F903AEFCB</vt:lpwstr>
  </property>
  <property fmtid="{D5CDD505-2E9C-101B-9397-08002B2CF9AE}" pid="3" name="MediaServiceImageTags">
    <vt:lpwstr/>
  </property>
  <property fmtid="{D5CDD505-2E9C-101B-9397-08002B2CF9AE}" pid="4" name="MSIP_Label_dbb4fa5d-3ac5-4415-967c-34900a0e1c6f_Enabled">
    <vt:lpwstr>true</vt:lpwstr>
  </property>
  <property fmtid="{D5CDD505-2E9C-101B-9397-08002B2CF9AE}" pid="5" name="MSIP_Label_dbb4fa5d-3ac5-4415-967c-34900a0e1c6f_SetDate">
    <vt:lpwstr>2024-08-13T01:47:02Z</vt:lpwstr>
  </property>
  <property fmtid="{D5CDD505-2E9C-101B-9397-08002B2CF9AE}" pid="6" name="MSIP_Label_dbb4fa5d-3ac5-4415-967c-34900a0e1c6f_Method">
    <vt:lpwstr>Privileged</vt:lpwstr>
  </property>
  <property fmtid="{D5CDD505-2E9C-101B-9397-08002B2CF9AE}" pid="7" name="MSIP_Label_dbb4fa5d-3ac5-4415-967c-34900a0e1c6f_Name">
    <vt:lpwstr>dbb4fa5d-3ac5-4415-967c-34900a0e1c6f</vt:lpwstr>
  </property>
  <property fmtid="{D5CDD505-2E9C-101B-9397-08002B2CF9AE}" pid="8" name="MSIP_Label_dbb4fa5d-3ac5-4415-967c-34900a0e1c6f_SiteId">
    <vt:lpwstr>a629ef32-67ba-47a6-8eb3-ec43935644fc</vt:lpwstr>
  </property>
  <property fmtid="{D5CDD505-2E9C-101B-9397-08002B2CF9AE}" pid="9" name="MSIP_Label_dbb4fa5d-3ac5-4415-967c-34900a0e1c6f_ActionId">
    <vt:lpwstr>01aee68a-9ed7-4c28-98ea-af0dbf3c2ec0</vt:lpwstr>
  </property>
  <property fmtid="{D5CDD505-2E9C-101B-9397-08002B2CF9AE}" pid="10" name="MSIP_Label_dbb4fa5d-3ac5-4415-967c-34900a0e1c6f_ContentBits">
    <vt:lpwstr>0</vt:lpwstr>
  </property>
</Properties>
</file>